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https://conselhoal-my.sharepoint.com/personal/caual_conselhoal_onmicrosoft_com1/Documents/A - CAU-AL - DIVERSOS/WEBSITE CAUAL/Lei de acesso a informação/METAS E RESULTADOS/"/>
    </mc:Choice>
  </mc:AlternateContent>
  <xr:revisionPtr revIDLastSave="76" documentId="8_{FD13AF63-28CD-4E58-8AC4-011B1B3E5FBA}" xr6:coauthVersionLast="47" xr6:coauthVersionMax="47" xr10:uidLastSave="{77E9F0B6-17B4-422E-B392-F3D67A280D10}"/>
  <bookViews>
    <workbookView xWindow="-120" yWindow="-120" windowWidth="20640" windowHeight="11160" tabRatio="733" xr2:uid="{00000000-000D-0000-FFFF-FFFF00000000}"/>
  </bookViews>
  <sheets>
    <sheet name="Quadro Geral" sheetId="15" r:id="rId1"/>
    <sheet name="Validação de dados" sheetId="31" state="hidden" r:id="rId2"/>
    <sheet name="Diretrizes - Resumo" sheetId="40" state="hidden" r:id="rId3"/>
  </sheets>
  <externalReferences>
    <externalReference r:id="rId4"/>
    <externalReference r:id="rId5"/>
  </externalReferences>
  <definedNames>
    <definedName name="__xlfn_IFERROR">#N/A</definedName>
    <definedName name="_xlnm._FilterDatabase" localSheetId="2" hidden="1">'Diretrizes - Resumo'!$A$3:$V$30</definedName>
    <definedName name="_xlnm._FilterDatabase" localSheetId="0" hidden="1">'Quadro Geral'!$A$6:$R$26</definedName>
    <definedName name="A" localSheetId="2">#REF!</definedName>
    <definedName name="A" localSheetId="0">#REF!</definedName>
    <definedName name="A">#REF!</definedName>
    <definedName name="Anexo">#REF!</definedName>
    <definedName name="Anexo_1.4.4">#REF!</definedName>
    <definedName name="ar">#N/A</definedName>
    <definedName name="_xlnm.Print_Area" localSheetId="0">'Quadro Geral'!$A$1:$J$27</definedName>
    <definedName name="asas">#REF!</definedName>
    <definedName name="ass">#REF!</definedName>
    <definedName name="_xlnm.Database" localSheetId="2">#REF!</definedName>
    <definedName name="_xlnm.Database" localSheetId="0">#REF!</definedName>
    <definedName name="_xlnm.Database">#REF!</definedName>
    <definedName name="banco_de_dados_sym" localSheetId="2">#REF!</definedName>
    <definedName name="banco_de_dados_sym">#REF!</definedName>
    <definedName name="Copia">#REF!</definedName>
    <definedName name="copia2">#REF!</definedName>
    <definedName name="_xlnm.Criteria">#REF!</definedName>
    <definedName name="dados">#REF!</definedName>
    <definedName name="Database">#REF!</definedName>
    <definedName name="DEZEMBRO">#REF!</definedName>
    <definedName name="huala">#REF!</definedName>
    <definedName name="kk">#REF!</definedName>
    <definedName name="Percentual5" localSheetId="2">'[1]Estudos - Receita'!$XFB$1:$XFB$20</definedName>
    <definedName name="Percentual5">'[2]Estudos - Receita'!$XFB$1:$XFB$20</definedName>
    <definedName name="PJ2anos" localSheetId="2">'[1]Estudos - Quant. PJ'!$K:$O,'[1]Estudos - Quant. PJ'!$J$2</definedName>
    <definedName name="PJ2anos">'[2]Estudos - Quant. PJ'!$K:$O,'[2]Estudos - Quant. PJ'!$J$2</definedName>
    <definedName name="PREs">#N/A</definedName>
    <definedName name="Presid">#N/A</definedName>
    <definedName name="X">#REF!</definedName>
    <definedName name="XFE1048575" localSheetId="2">#REF!</definedName>
    <definedName name="XFE1048575">#REF!</definedName>
    <definedName name="XFe1048576" localSheetId="2">#REF!</definedName>
    <definedName name="XFe1048576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3" i="15" l="1"/>
  <c r="I18" i="15"/>
  <c r="I17" i="15"/>
  <c r="I16" i="15"/>
  <c r="I15" i="15"/>
  <c r="I14" i="15"/>
  <c r="I13" i="15"/>
  <c r="I12" i="15"/>
  <c r="I10" i="15"/>
  <c r="I9" i="15"/>
  <c r="I8" i="15"/>
  <c r="I11" i="15"/>
  <c r="I19" i="15"/>
  <c r="I20" i="15"/>
  <c r="I21" i="15"/>
  <c r="I22" i="15"/>
  <c r="G24" i="15" l="1"/>
  <c r="H24" i="15"/>
  <c r="F24" i="15"/>
  <c r="I7" i="15"/>
  <c r="I24" i="15" l="1"/>
  <c r="D5" i="40"/>
  <c r="G5" i="40"/>
  <c r="D6" i="40"/>
  <c r="D7" i="40"/>
  <c r="G7" i="40"/>
  <c r="D8" i="40"/>
  <c r="G8" i="40"/>
  <c r="D9" i="40"/>
  <c r="G9" i="40"/>
  <c r="D10" i="40"/>
  <c r="D11" i="40"/>
  <c r="D12" i="40"/>
  <c r="G12" i="40"/>
  <c r="D13" i="40"/>
  <c r="G13" i="40"/>
  <c r="D14" i="40"/>
  <c r="D15" i="40"/>
  <c r="D16" i="40"/>
  <c r="G16" i="40"/>
  <c r="D17" i="40"/>
  <c r="G17" i="40"/>
  <c r="D18" i="40"/>
  <c r="D19" i="40"/>
  <c r="D20" i="40"/>
  <c r="G20" i="40"/>
  <c r="D21" i="40"/>
  <c r="G21" i="40"/>
  <c r="D22" i="40"/>
  <c r="D23" i="40"/>
  <c r="D24" i="40"/>
  <c r="G24" i="40"/>
  <c r="D25" i="40"/>
  <c r="G25" i="40"/>
  <c r="D26" i="40"/>
  <c r="D27" i="40"/>
  <c r="D28" i="40"/>
  <c r="G28" i="40"/>
  <c r="D29" i="40"/>
  <c r="G29" i="40"/>
  <c r="D30" i="40"/>
  <c r="AK2" i="40"/>
  <c r="AK27" i="40" s="1"/>
  <c r="C32" i="40"/>
  <c r="D32" i="40" s="1"/>
  <c r="E32" i="40" s="1"/>
  <c r="F32" i="40" s="1"/>
  <c r="G32" i="40" s="1"/>
  <c r="H32" i="40" s="1"/>
  <c r="I32" i="40" s="1"/>
  <c r="J32" i="40" s="1"/>
  <c r="K32" i="40" s="1"/>
  <c r="L32" i="40" s="1"/>
  <c r="M32" i="40" s="1"/>
  <c r="N32" i="40" s="1"/>
  <c r="O32" i="40" s="1"/>
  <c r="P32" i="40" s="1"/>
  <c r="Q32" i="40" s="1"/>
  <c r="R32" i="40" s="1"/>
  <c r="S32" i="40" s="1"/>
  <c r="T32" i="40" s="1"/>
  <c r="U32" i="40" s="1"/>
  <c r="V32" i="40" s="1"/>
  <c r="W32" i="40" s="1"/>
  <c r="X32" i="40" s="1"/>
  <c r="Y32" i="40" s="1"/>
  <c r="Z32" i="40" s="1"/>
  <c r="AA32" i="40" s="1"/>
  <c r="AB32" i="40" s="1"/>
  <c r="AC32" i="40" s="1"/>
  <c r="AD32" i="40" s="1"/>
  <c r="AE32" i="40" s="1"/>
  <c r="AF32" i="40" s="1"/>
  <c r="AG32" i="40" s="1"/>
  <c r="AH32" i="40" s="1"/>
  <c r="G30" i="40" l="1"/>
  <c r="G26" i="40"/>
  <c r="G22" i="40"/>
  <c r="G18" i="40"/>
  <c r="G14" i="40"/>
  <c r="G10" i="40"/>
  <c r="G6" i="40"/>
  <c r="G27" i="40"/>
  <c r="G23" i="40"/>
  <c r="G19" i="40"/>
  <c r="G15" i="40"/>
  <c r="G11" i="40"/>
  <c r="AK22" i="40" l="1"/>
  <c r="AK23" i="40"/>
  <c r="AK24" i="40"/>
  <c r="AK21" i="40"/>
  <c r="AK20" i="40"/>
  <c r="AK10" i="40" l="1"/>
  <c r="AN9" i="40"/>
  <c r="AN6" i="40"/>
  <c r="AN7" i="40"/>
  <c r="AK16" i="40"/>
  <c r="AN3" i="40"/>
  <c r="AN5" i="40"/>
  <c r="AK15" i="40"/>
  <c r="AK19" i="40"/>
  <c r="AN8" i="40"/>
  <c r="G4" i="40" l="1"/>
  <c r="AK7" i="40"/>
  <c r="AK12" i="40"/>
  <c r="AK11" i="40"/>
  <c r="AK13" i="40"/>
  <c r="AK8" i="40"/>
  <c r="J6" i="40"/>
  <c r="J24" i="40"/>
  <c r="J8" i="40"/>
  <c r="J11" i="40"/>
  <c r="J25" i="40"/>
  <c r="J22" i="40"/>
  <c r="J9" i="40"/>
  <c r="D4" i="40"/>
  <c r="J4" i="40" s="1"/>
  <c r="J29" i="40"/>
  <c r="J23" i="40"/>
  <c r="J17" i="40"/>
  <c r="J7" i="40"/>
  <c r="J5" i="40"/>
  <c r="J27" i="40"/>
  <c r="J19" i="40"/>
  <c r="J18" i="40"/>
  <c r="J16" i="40"/>
  <c r="J15" i="40"/>
  <c r="J13" i="40"/>
  <c r="J12" i="40"/>
  <c r="J10" i="40"/>
  <c r="J21" i="40"/>
  <c r="J20" i="40"/>
  <c r="AN4" i="40"/>
  <c r="J30" i="40"/>
  <c r="AK9" i="40" l="1"/>
  <c r="AK6" i="40"/>
  <c r="J28" i="40"/>
  <c r="J26" i="40"/>
  <c r="J14" i="40"/>
  <c r="AK5" i="40" l="1"/>
  <c r="AK4" i="40" s="1"/>
  <c r="AK3" i="4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Gustavo Milhomem Brito Menezes</author>
    <author>Fabiana Pereira Siqueira</author>
    <author>Tania Mara Chaves Daldegan</author>
  </authors>
  <commentList>
    <comment ref="A5" authorId="0" shapeId="0" xr:uid="{00000000-0006-0000-0200-000001000000}">
      <text>
        <r>
          <rPr>
            <b/>
            <sz val="16"/>
            <color indexed="81"/>
            <rFont val="Tahoma"/>
            <family val="2"/>
          </rPr>
          <t>Área ou setor responsável pela Atividade ou Projeto</t>
        </r>
      </text>
    </comment>
    <comment ref="B5" authorId="0" shapeId="0" xr:uid="{00000000-0006-0000-0200-000002000000}">
      <text>
        <r>
          <rPr>
            <b/>
            <sz val="14"/>
            <color indexed="81"/>
            <rFont val="Calibri Light"/>
            <family val="2"/>
            <scheme val="major"/>
          </rPr>
          <t>P= Projeto                                         A= Atividade 
PE= Projeto Específico
P.= Projeto não executado                                        A. = Atividade não executada
PE. = Projeto Específico não executado</t>
        </r>
      </text>
    </comment>
    <comment ref="C5" authorId="0" shapeId="0" xr:uid="{00000000-0006-0000-0200-000003000000}">
      <text>
        <r>
          <rPr>
            <b/>
            <sz val="13"/>
            <color indexed="81"/>
            <rFont val="Tahoma"/>
            <family val="2"/>
          </rPr>
          <t>Nome do Projeto ou Atividade do Plano de Ação, conforme o parecer aprovado da Reprogramação 2021</t>
        </r>
      </text>
    </comment>
    <comment ref="D5" authorId="0" shapeId="0" xr:uid="{00000000-0006-0000-0200-000004000000}">
      <text>
        <r>
          <rPr>
            <b/>
            <sz val="14"/>
            <color indexed="81"/>
            <rFont val="Tahoma"/>
            <family val="2"/>
          </rPr>
          <t>Selecionar uma das opções nas células abaixo que estão de acordo com os objetivos estratégicos do Mapa Estratégico no âmbito das perspectivas da Sociedade, Processos Internos, Alavancadores e Pessoas e Infraestrutura.</t>
        </r>
      </text>
    </comment>
    <comment ref="E5" authorId="0" shapeId="0" xr:uid="{00000000-0006-0000-0200-000005000000}">
      <text>
        <r>
          <rPr>
            <b/>
            <sz val="12"/>
            <color indexed="81"/>
            <rFont val="Tahoma"/>
            <family val="2"/>
          </rPr>
          <t>Resultado conforme o previsto no parecer aprovado da Reprogramação do Plano de Ação do Exercício de 2021.</t>
        </r>
      </text>
    </comment>
    <comment ref="F5" authorId="1" shapeId="0" xr:uid="{00000000-0006-0000-0200-000006000000}">
      <text>
        <r>
          <rPr>
            <b/>
            <sz val="12"/>
            <color indexed="81"/>
            <rFont val="Calibri"/>
            <family val="2"/>
            <scheme val="minor"/>
          </rPr>
          <t>Usar o último valor APROVADO no parecer do Plano de Ação do Reprogramado  Exercício de 2021, sem transposição.</t>
        </r>
      </text>
    </comment>
    <comment ref="G5" authorId="2" shapeId="0" xr:uid="{00000000-0006-0000-0200-000007000000}">
      <text>
        <r>
          <rPr>
            <b/>
            <sz val="11"/>
            <color indexed="81"/>
            <rFont val="Segoe UI"/>
            <family val="2"/>
          </rPr>
          <t xml:space="preserve">Retirar do SISCONT. NET, no caminho: "Centro de Custos&gt; Relatórios&gt; Demonstrativo de empenhos/pagamentos- período de: 01/01/2021 até 31/12/2021 na coluna do ORÇADO.
</t>
        </r>
      </text>
    </comment>
    <comment ref="H5" authorId="1" shapeId="0" xr:uid="{00000000-0006-0000-0200-000008000000}">
      <text>
        <r>
          <rPr>
            <b/>
            <sz val="12"/>
            <color indexed="81"/>
            <rFont val="Calibri"/>
            <family val="2"/>
            <scheme val="minor"/>
          </rPr>
          <t>Retirar do SISCONT. NET, no caminho: "Centro de Custos&gt; Relatórios&gt; Demonstrativo de empenhos/pagamentos- período de: 01/01/2021 até 31/12/2021 na coluna do EMPENHOS.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Marcos Cristino</author>
  </authors>
  <commentList>
    <comment ref="AK15" authorId="0" shapeId="0" xr:uid="{00000000-0006-0000-0600-000001000000}">
      <text>
        <r>
          <rPr>
            <sz val="9"/>
            <color indexed="81"/>
            <rFont val="Segoe UI"/>
            <family val="2"/>
          </rPr>
          <t>Valor apenas do Ressarcimento de Taxas Bancárias</t>
        </r>
      </text>
    </comment>
  </commentList>
</comments>
</file>

<file path=xl/sharedStrings.xml><?xml version="1.0" encoding="utf-8"?>
<sst xmlns="http://schemas.openxmlformats.org/spreadsheetml/2006/main" count="315" uniqueCount="216">
  <si>
    <t>Imobilizado</t>
  </si>
  <si>
    <t>Unidade Responsável</t>
  </si>
  <si>
    <t>Denominação</t>
  </si>
  <si>
    <t>TOTAL</t>
  </si>
  <si>
    <t>1. Receitas Correntes</t>
  </si>
  <si>
    <t>1.1.1 Anuidades</t>
  </si>
  <si>
    <t>1.1.1.1 Pessoa Física</t>
  </si>
  <si>
    <t>1.1.1.2 Pessoa Jurídica</t>
  </si>
  <si>
    <t>1.2 Aplicações Financeiras</t>
  </si>
  <si>
    <t>1.4 Fundo de Apoio</t>
  </si>
  <si>
    <t>Impactar significativamente o planejamento e a gestão do território</t>
  </si>
  <si>
    <t>Tornar a fiscalização um vetor de melhoria do exercício da Arquitetura e Urbanismo</t>
  </si>
  <si>
    <t>Assegurar a eficácia no atendimento e no relacionamento com os arquitetos e urbanistas e a sociedade</t>
  </si>
  <si>
    <t>Estimular o conhecimento, o uso de processos criativos e a difusão das melhores práticas em Arquitetura e Urbanismo</t>
  </si>
  <si>
    <t>Assegurar a eficácia no relacionamento e comunicação com a sociedade</t>
  </si>
  <si>
    <t>Promover o exercício ético e qualificado da profissão</t>
  </si>
  <si>
    <t>Fomentar o acesso da sociedade à Arquitetura e Urbanismo</t>
  </si>
  <si>
    <t>Assegurar a sustentabilidade financeira</t>
  </si>
  <si>
    <t>Aprimorar e inovar os processos e as ações</t>
  </si>
  <si>
    <t>Desenvolver competências de dirigentes e colaboradores</t>
  </si>
  <si>
    <t>Construir cultura organizacional adequada à estratégia</t>
  </si>
  <si>
    <t>Ter sistemas de informação e infraestrutura que viabilizem a gestão e o atendimento dos arquitetos e urbanistas e a sociedade</t>
  </si>
  <si>
    <t>Objetivo Estratégico Principal</t>
  </si>
  <si>
    <t>Material de Consumo</t>
  </si>
  <si>
    <t>Encargos Diversos</t>
  </si>
  <si>
    <t>Diárias</t>
  </si>
  <si>
    <t>Pessoal e Encargos</t>
  </si>
  <si>
    <t>1. QUADRO GERAL</t>
  </si>
  <si>
    <t>1.1.3 RRT</t>
  </si>
  <si>
    <t>1.1.1.1.2 Anuidade Exercícios anteriores</t>
  </si>
  <si>
    <t>1.1.1.2.2 Anuidade Exercícios anteriores</t>
  </si>
  <si>
    <t>1.1 Receitas de Arrecadação Total</t>
  </si>
  <si>
    <t>01 - Erradicação da pobreza</t>
  </si>
  <si>
    <t>05 - Igualdade de gênero</t>
  </si>
  <si>
    <t>08 - Trabalho decente e crescimento econômico</t>
  </si>
  <si>
    <t>10 - Redução das desigualdades</t>
  </si>
  <si>
    <t>11 - Cidades e comunidades sustentáveis</t>
  </si>
  <si>
    <t>14 - Vida na água</t>
  </si>
  <si>
    <t>16 - Paz, justiça e instituições eficazes</t>
  </si>
  <si>
    <t>17 - Parcerias e meios de implementação</t>
  </si>
  <si>
    <t>02 - Fome zero e agricultura sustentável</t>
  </si>
  <si>
    <t>03 - Saúde e bem-estar</t>
  </si>
  <si>
    <t>04 - Educação de qualidade</t>
  </si>
  <si>
    <t>06 - Água limpa e saneamento</t>
  </si>
  <si>
    <t>09 - Inovação infraestrutura</t>
  </si>
  <si>
    <t>12 - Consumo e produção responsáveis</t>
  </si>
  <si>
    <t>13 - Ação contra a mudança global do clima</t>
  </si>
  <si>
    <t>15 - Vida terrestre</t>
  </si>
  <si>
    <t>Assegurar a eficácia no atendimento e no relacionamento com os Arquitetos e Urbanistas e a Sociedade</t>
  </si>
  <si>
    <t>Auto-Atendimento</t>
  </si>
  <si>
    <t>Qualificação dos Canais de Atendimento</t>
  </si>
  <si>
    <t>Ações Locais em Mídia</t>
  </si>
  <si>
    <t>Ações Nacionais em Mídia</t>
  </si>
  <si>
    <t>Atualização do Portal da Transparência</t>
  </si>
  <si>
    <t>Estimular a produção da Arquitetura e Urbanismo como política de Estado</t>
  </si>
  <si>
    <t>Representação em Instâncias Públicas</t>
  </si>
  <si>
    <t>Câmaras Temáticas</t>
  </si>
  <si>
    <t>Editais de Patrocínio</t>
  </si>
  <si>
    <t>Capacitação em ATHIS</t>
  </si>
  <si>
    <t>Cooperação Técnica para ATHIS</t>
  </si>
  <si>
    <t>Influenciar as diretrizes do ensino de Arquitetura e Urbanismo e sua formação continuada</t>
  </si>
  <si>
    <t>Ações de Melhoria da Qualidade do Ensino</t>
  </si>
  <si>
    <t>CAU nas Escolas</t>
  </si>
  <si>
    <t>Audiências de Conciliação</t>
  </si>
  <si>
    <t>Melhoria de Processo Ético</t>
  </si>
  <si>
    <t>Palestras e campanhas sobre Aspectos Éticos</t>
  </si>
  <si>
    <t>Cooperação Técnica para Fiscalização</t>
  </si>
  <si>
    <t>Plataforma de Georreferenciamento</t>
  </si>
  <si>
    <t>Fiscalização Orientativa</t>
  </si>
  <si>
    <t>Fiscalização em Obras</t>
  </si>
  <si>
    <t>Serviços de Terceiros- Diárias</t>
  </si>
  <si>
    <t>Serviços de Terceiros- Passagens</t>
  </si>
  <si>
    <t>Serviços de Terceiros- Serviços Prestados</t>
  </si>
  <si>
    <t>Serviços de Terceiros- Aluguéis e Encargos</t>
  </si>
  <si>
    <t>Transferências Correntes</t>
  </si>
  <si>
    <t>1.3 Outras Receitas Correntes</t>
  </si>
  <si>
    <t>Não se aplica</t>
  </si>
  <si>
    <t>Atendimento Eletrônico</t>
  </si>
  <si>
    <t>Valorizar a Arquitetura e Urbanismo</t>
  </si>
  <si>
    <t>Garantir a participação dos Arquitetos e Urbanistas no planejamento territorial e na gestão urbana</t>
  </si>
  <si>
    <t xml:space="preserve">Reserva de Contingência </t>
  </si>
  <si>
    <t>COMENTÁRIOS/JUSTIFICATIVAS:</t>
  </si>
  <si>
    <t>1.1.1.1.1 Anuidade do Exercício 2022</t>
  </si>
  <si>
    <t>1.1.1.2.1 Anuidade do Exercício 2022</t>
  </si>
  <si>
    <t>07 - Energia limpa e acessível </t>
  </si>
  <si>
    <t>LEGENDA: P = PROJETO/ A = ATIVIDADE/ PE = PROJETO ESPECÍFICO / FA = FUNDO DE APOIO</t>
  </si>
  <si>
    <t>P</t>
  </si>
  <si>
    <t>A</t>
  </si>
  <si>
    <t>PE</t>
  </si>
  <si>
    <t>P.</t>
  </si>
  <si>
    <t>A.</t>
  </si>
  <si>
    <t>PE.</t>
  </si>
  <si>
    <t>TO</t>
  </si>
  <si>
    <t>SP</t>
  </si>
  <si>
    <t>SE</t>
  </si>
  <si>
    <t>SC</t>
  </si>
  <si>
    <t>RS</t>
  </si>
  <si>
    <t>RR</t>
  </si>
  <si>
    <t>RO</t>
  </si>
  <si>
    <t>RN</t>
  </si>
  <si>
    <t>RJ</t>
  </si>
  <si>
    <t>PR</t>
  </si>
  <si>
    <t>PI</t>
  </si>
  <si>
    <t>PB</t>
  </si>
  <si>
    <t>PA</t>
  </si>
  <si>
    <t>RRT - Quantidade</t>
  </si>
  <si>
    <t>MT</t>
  </si>
  <si>
    <t>PJ - Inadimplência</t>
  </si>
  <si>
    <t>MS</t>
  </si>
  <si>
    <t>PJ - Quantidade</t>
  </si>
  <si>
    <t>MG</t>
  </si>
  <si>
    <t>PF - Inadimplência</t>
  </si>
  <si>
    <t>1.1.3 Taxas e Multas</t>
  </si>
  <si>
    <t>MA</t>
  </si>
  <si>
    <t>GO</t>
  </si>
  <si>
    <t>Quantidades e Inadimplência</t>
  </si>
  <si>
    <t>ES</t>
  </si>
  <si>
    <t>DF</t>
  </si>
  <si>
    <t>Superávit Financeiro 2020</t>
  </si>
  <si>
    <t>CE</t>
  </si>
  <si>
    <t>Encontro de Contas</t>
  </si>
  <si>
    <t>BA</t>
  </si>
  <si>
    <t>Fundo de Apoio - Plenárias Ampliadas</t>
  </si>
  <si>
    <t>AP</t>
  </si>
  <si>
    <t>Fundo de Apoio - APORTE</t>
  </si>
  <si>
    <t>AM</t>
  </si>
  <si>
    <t>CSC - SISCAF</t>
  </si>
  <si>
    <t>AL</t>
  </si>
  <si>
    <t>CSC - Atendimento</t>
  </si>
  <si>
    <t>AC</t>
  </si>
  <si>
    <t>CSC - Fiscalização</t>
  </si>
  <si>
    <t>Quantitativo</t>
  </si>
  <si>
    <t>Inadimplência</t>
  </si>
  <si>
    <t>Taxas Bancárias
(Outras Receitas)</t>
  </si>
  <si>
    <t>Manutenção</t>
  </si>
  <si>
    <t>Atendimento</t>
  </si>
  <si>
    <t>Fiscalização</t>
  </si>
  <si>
    <t>Repasse do Fundo de Apoio</t>
  </si>
  <si>
    <t>Utilização com Plenárias Ampliadas</t>
  </si>
  <si>
    <t>Aporte ao
Fundo de Apoio</t>
  </si>
  <si>
    <t>Reprogramação</t>
  </si>
  <si>
    <t>Exercícios Anteriores</t>
  </si>
  <si>
    <t>Exercício</t>
  </si>
  <si>
    <t>Demais valores a checar</t>
  </si>
  <si>
    <t>Fontes de Receitas Correntes (80%)</t>
  </si>
  <si>
    <t>Superávit financiero
apurado em 2020</t>
  </si>
  <si>
    <t>RRT</t>
  </si>
  <si>
    <t>PJ</t>
  </si>
  <si>
    <t>PF</t>
  </si>
  <si>
    <t>Taxas</t>
  </si>
  <si>
    <t>Informações para os Indicadores</t>
  </si>
  <si>
    <t>Ressarcimento</t>
  </si>
  <si>
    <t>SISCAF</t>
  </si>
  <si>
    <t>CSC</t>
  </si>
  <si>
    <t>Fundo de Apoio</t>
  </si>
  <si>
    <t>UF</t>
  </si>
  <si>
    <t>Reprogramação 
2022</t>
  </si>
  <si>
    <t>Ativos</t>
  </si>
  <si>
    <t>Potencial Pagantes</t>
  </si>
  <si>
    <t>PF - Ativos</t>
  </si>
  <si>
    <t>PF - Potencial Pagantes</t>
  </si>
  <si>
    <t>nº da coluna</t>
  </si>
  <si>
    <t>População estimada 2021</t>
  </si>
  <si>
    <t>Dados Geográficos</t>
  </si>
  <si>
    <t>População - 2021</t>
  </si>
  <si>
    <t>gerplan2022</t>
  </si>
  <si>
    <t>-</t>
  </si>
  <si>
    <t>Efetividade</t>
  </si>
  <si>
    <t>P/A/PE
P./A./PE.</t>
  </si>
  <si>
    <t>Resultado Previsto</t>
  </si>
  <si>
    <t>Comissão de Ensino e Formação - CEF</t>
  </si>
  <si>
    <t>Presidência</t>
  </si>
  <si>
    <t>Sou arquiteto, e agora?</t>
  </si>
  <si>
    <t>Dia do Arquiteto</t>
  </si>
  <si>
    <t>Prêmio TFG</t>
  </si>
  <si>
    <t>Capacitação</t>
  </si>
  <si>
    <t>Comunicação - plano de mídia</t>
  </si>
  <si>
    <t>Manutenção das rotinas administrativas do CAU/AL</t>
  </si>
  <si>
    <t>Fiscalização sistemática</t>
  </si>
  <si>
    <t>Ações de suprimento a demanda de deslocamento de pessoal</t>
  </si>
  <si>
    <t>Aporte ao centro de serviços compartilhados - CSC - Fiscalização</t>
  </si>
  <si>
    <t>Aporte ao centro de serviços compartilhados - CSC - Atendimento</t>
  </si>
  <si>
    <t>Contribuição ao fundo nacional de apoio aos CAU/UF's</t>
  </si>
  <si>
    <t>Reserva de contingência</t>
  </si>
  <si>
    <t>Assistência Técnica em Habitação de Interesse Social - ATHIS</t>
  </si>
  <si>
    <t>Manutenção das instalações da sede</t>
  </si>
  <si>
    <t>ATHIS no interior</t>
  </si>
  <si>
    <t>CAU +</t>
  </si>
  <si>
    <t>Estimular o conhecimento, o uso de processos criativos e a difusão das melhores práticas em arquitetura e urbanismo</t>
  </si>
  <si>
    <t>Tornar a fiscalização um vetor de melhoria do exercício da arquitetura e urbanismo</t>
  </si>
  <si>
    <t>30 profissionais e estudantes capacitados.</t>
  </si>
  <si>
    <t>Realização de videos institucionais - até 03 videos</t>
  </si>
  <si>
    <t>Trabalhos premiados.</t>
  </si>
  <si>
    <t>Corpo funcional do CAU/AL treinado e capacitado</t>
  </si>
  <si>
    <t>Melhoria da imagem do CAU/AL junto a sociedade, esclarecendo qual o papel do Conselho e do Arquiteto para sociedade.</t>
  </si>
  <si>
    <t>4.000 atendimentos / ano.</t>
  </si>
  <si>
    <t>Sede em pleno funcionamento.</t>
  </si>
  <si>
    <t>Fiscalizar e apurar 38% das obras conhecidas; Fiscalizar e apurar 95% das denúncias registradas.</t>
  </si>
  <si>
    <t>Participação efetiva dos funcionários e conselheiros no processo de elaboração e tomada de decisão das normativas do CAU/BR e/ou eventos do CAU/AL em eventos regionais.</t>
  </si>
  <si>
    <t>Aporte financeiro realizado.</t>
  </si>
  <si>
    <t>Contribuição realizada</t>
  </si>
  <si>
    <t>Utilização de no máximo de 50% do valor orçado.</t>
  </si>
  <si>
    <t>"Atender a comunidade carente, no total de 40 famílias assistidas . "</t>
  </si>
  <si>
    <t>Melhoria do atendimento, conforto e qualidade de trabalho.</t>
  </si>
  <si>
    <t>"Atender a comunidade carente, no total de 20 famílias assistidas . "</t>
  </si>
  <si>
    <t>Capacitação de 80 arquitetos e  estudantes.</t>
  </si>
  <si>
    <t>"Concluído"</t>
  </si>
  <si>
    <t>"Não Realizado"</t>
  </si>
  <si>
    <t>"Parcialmente Concluído"</t>
  </si>
  <si>
    <t>Reprogramação  
 com transposição   2021                                     (B)</t>
  </si>
  <si>
    <t>Executado 2021
   (C)</t>
  </si>
  <si>
    <t>CAU/AL</t>
  </si>
  <si>
    <t xml:space="preserve">Quadro Geral </t>
  </si>
  <si>
    <t>Reprogramação                   
 2021
(A)</t>
  </si>
  <si>
    <r>
      <t>A) ATHIS no interior: Realizada apenas a ação nº 1 do total de 03 do projeto: 1</t>
    </r>
    <r>
      <rPr>
        <b/>
        <sz val="11"/>
        <color theme="1"/>
        <rFont val="Calibri"/>
        <family val="2"/>
        <scheme val="minor"/>
      </rPr>
      <t>. Realização de termo de cooperação / convênio com Defensoria Pública para atendimento das demandas nos processos de USUCAPIÂO</t>
    </r>
    <r>
      <rPr>
        <sz val="11"/>
        <color theme="1"/>
        <rFont val="Calibri"/>
        <family val="2"/>
        <scheme val="minor"/>
      </rPr>
      <t>; 2. Elaboração de edital para contratação de arquitetos; 3. E elaboração dos levantamento arquitetônicos para usucapião. As custas de publicação no Diário oficial decorreram plea defensoria. Demais ações ficaram para realização em 2022.
B) Comunicação - plano de mídia: Por se tratar de um ano ainda em crise devido a Pandemia COVID-19, foi adotado estratégia de usos de comunicação em redes sociais, lista de transmissão pelo whatssapp e tentativa de mídia expontânea sem necessiadde de gastos financeiros. Em 2021 o CAU/AL teve seu melhor engajamento nas redes sociais.
C) Em relação a aplicação do recurso em capacitação o CAU/AL, através do portal da Escola Nacional de Administração Pública - Enap (https://www.enap.gov.br/) ofertou sem custos ao CAU/AL capacitações aos funcionários em diversas áreas oferecidas pelo ENAP, dentre elas a lei de acesso a informação: O curso Acesso à Informação busca demonstrar as bases normativas, conceituais e operacionais que podem ser utilizadas na aplicação da Lei de Acesso à Informação (LAI) a fim de oferecer subsídios aos cidadãos e à administração pública em geral para a realização consciente e eficiente de atos relacionados à essa área. O conteúdo apresenta o contexto, os conceitos e a abrangência do Acesso à Informação no Brasil.</t>
    </r>
  </si>
  <si>
    <t>Execução % 
(E=C/B *100)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</si>
</sst>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6" formatCode="0.0%"/>
    <numFmt numFmtId="168" formatCode="_(* #,##0_);_(* \(#,##0\);_(* &quot;-&quot;??_);_(@_)"/>
    <numFmt numFmtId="169" formatCode="_(* #,##0.0_);_(* \(#,##0.0\);_(* &quot;-&quot;??_);_(@_)"/>
    <numFmt numFmtId="171" formatCode="_-&quot;R$&quot;\ * #,##0_-;\-&quot;R$&quot;\ * #,##0_-;_-&quot;R$&quot;\ 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indexed="81"/>
      <name val="Tahoma"/>
      <family val="2"/>
    </font>
    <font>
      <b/>
      <sz val="13"/>
      <color indexed="81"/>
      <name val="Tahoma"/>
      <family val="2"/>
    </font>
    <font>
      <sz val="9"/>
      <color indexed="81"/>
      <name val="Segoe UI"/>
      <family val="2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4"/>
      <color indexed="81"/>
      <name val="Tahoma"/>
      <family val="2"/>
    </font>
    <font>
      <sz val="11"/>
      <color rgb="FF000000"/>
      <name val="Calibri"/>
      <family val="2"/>
    </font>
    <font>
      <b/>
      <sz val="14"/>
      <color indexed="81"/>
      <name val="Calibri Light"/>
      <family val="2"/>
      <scheme val="major"/>
    </font>
    <font>
      <sz val="8"/>
      <name val="Calibri"/>
      <family val="2"/>
      <scheme val="minor"/>
    </font>
    <font>
      <b/>
      <sz val="16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trike/>
      <sz val="12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indexed="81"/>
      <name val="Calibri"/>
      <family val="2"/>
      <scheme val="minor"/>
    </font>
    <font>
      <b/>
      <sz val="11"/>
      <color indexed="81"/>
      <name val="Segoe U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 tint="0.49998474074526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2A5664"/>
        <bgColor indexed="64"/>
      </patternFill>
    </fill>
    <fill>
      <patternFill patternType="solid">
        <fgColor rgb="FF006666"/>
        <bgColor indexed="64"/>
      </patternFill>
    </fill>
    <fill>
      <patternFill patternType="darkGrid">
        <bgColor theme="0"/>
      </patternFill>
    </fill>
    <fill>
      <patternFill patternType="solid">
        <fgColor theme="9" tint="-0.249977111117893"/>
        <bgColor indexed="64"/>
      </patternFill>
    </fill>
    <fill>
      <patternFill patternType="darkTrellis">
        <bgColor theme="0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2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" fillId="0" borderId="0"/>
    <xf numFmtId="171" fontId="9" fillId="0" borderId="0" applyBorder="0" applyProtection="0"/>
    <xf numFmtId="0" fontId="26" fillId="0" borderId="0"/>
    <xf numFmtId="43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/>
    <xf numFmtId="0" fontId="3" fillId="0" borderId="0" xfId="0" applyFont="1"/>
    <xf numFmtId="0" fontId="17" fillId="2" borderId="0" xfId="0" applyFont="1" applyFill="1"/>
    <xf numFmtId="0" fontId="17" fillId="2" borderId="0" xfId="0" applyFont="1" applyFill="1" applyBorder="1" applyAlignment="1">
      <alignment vertical="center" wrapText="1"/>
    </xf>
    <xf numFmtId="0" fontId="17" fillId="2" borderId="0" xfId="0" applyFont="1" applyFill="1" applyBorder="1"/>
    <xf numFmtId="0" fontId="17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168" fontId="0" fillId="0" borderId="0" xfId="2" applyNumberFormat="1" applyFont="1"/>
    <xf numFmtId="169" fontId="0" fillId="0" borderId="0" xfId="2" applyNumberFormat="1" applyFont="1"/>
    <xf numFmtId="164" fontId="0" fillId="0" borderId="0" xfId="2" applyFont="1" applyFill="1" applyBorder="1"/>
    <xf numFmtId="164" fontId="0" fillId="0" borderId="0" xfId="2" applyFont="1"/>
    <xf numFmtId="164" fontId="8" fillId="0" borderId="0" xfId="2" applyFont="1"/>
    <xf numFmtId="164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1" applyNumberFormat="1" applyFont="1"/>
    <xf numFmtId="43" fontId="0" fillId="0" borderId="0" xfId="0" applyNumberFormat="1"/>
    <xf numFmtId="168" fontId="0" fillId="0" borderId="0" xfId="2" applyNumberFormat="1" applyFont="1" applyAlignment="1">
      <alignment horizontal="center"/>
    </xf>
    <xf numFmtId="169" fontId="0" fillId="0" borderId="0" xfId="2" applyNumberFormat="1" applyFont="1" applyAlignment="1">
      <alignment horizontal="center"/>
    </xf>
    <xf numFmtId="164" fontId="0" fillId="4" borderId="0" xfId="2" applyFont="1" applyFill="1"/>
    <xf numFmtId="0" fontId="15" fillId="8" borderId="12" xfId="0" applyFont="1" applyFill="1" applyBorder="1" applyAlignment="1">
      <alignment horizontal="center" vertical="center"/>
    </xf>
    <xf numFmtId="0" fontId="20" fillId="2" borderId="0" xfId="0" applyFont="1" applyFill="1"/>
    <xf numFmtId="164" fontId="3" fillId="0" borderId="0" xfId="2" applyFont="1" applyAlignment="1">
      <alignment horizontal="center"/>
    </xf>
    <xf numFmtId="168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164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169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164" fontId="2" fillId="9" borderId="1" xfId="2" applyFont="1" applyFill="1" applyBorder="1" applyAlignment="1" applyProtection="1">
      <alignment horizontal="center" vertical="center"/>
      <protection locked="0"/>
    </xf>
    <xf numFmtId="164" fontId="3" fillId="2" borderId="1" xfId="2" applyFont="1" applyFill="1" applyBorder="1" applyAlignment="1" applyProtection="1">
      <alignment horizontal="center" vertical="center" wrapText="1"/>
      <protection locked="0"/>
    </xf>
    <xf numFmtId="0" fontId="16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2" fillId="3" borderId="1" xfId="2" applyFont="1" applyFill="1" applyBorder="1" applyAlignment="1" applyProtection="1">
      <alignment horizontal="center" vertical="center" wrapText="1"/>
      <protection locked="0"/>
    </xf>
    <xf numFmtId="164" fontId="3" fillId="3" borderId="1" xfId="2" applyFont="1" applyFill="1" applyBorder="1" applyAlignment="1" applyProtection="1">
      <alignment horizontal="center" vertical="center" wrapText="1"/>
      <protection locked="0"/>
    </xf>
    <xf numFmtId="164" fontId="2" fillId="3" borderId="1" xfId="2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4" fontId="2" fillId="3" borderId="2" xfId="2" applyFont="1" applyFill="1" applyBorder="1" applyAlignment="1">
      <alignment horizontal="center" vertical="center" wrapText="1"/>
    </xf>
    <xf numFmtId="168" fontId="15" fillId="8" borderId="14" xfId="2" applyNumberFormat="1" applyFont="1" applyFill="1" applyBorder="1" applyAlignment="1">
      <alignment horizontal="center" vertical="center" wrapText="1"/>
    </xf>
    <xf numFmtId="169" fontId="15" fillId="8" borderId="12" xfId="2" applyNumberFormat="1" applyFont="1" applyFill="1" applyBorder="1" applyAlignment="1">
      <alignment horizontal="center" vertical="center" wrapText="1"/>
    </xf>
    <xf numFmtId="168" fontId="15" fillId="8" borderId="12" xfId="2" applyNumberFormat="1" applyFont="1" applyFill="1" applyBorder="1" applyAlignment="1">
      <alignment horizontal="center" vertical="center" wrapText="1"/>
    </xf>
    <xf numFmtId="168" fontId="15" fillId="8" borderId="15" xfId="2" applyNumberFormat="1" applyFont="1" applyFill="1" applyBorder="1" applyAlignment="1">
      <alignment horizontal="center" vertical="center" wrapText="1"/>
    </xf>
    <xf numFmtId="49" fontId="0" fillId="0" borderId="0" xfId="2" applyNumberFormat="1" applyFont="1" applyFill="1" applyBorder="1" applyAlignment="1">
      <alignment horizontal="center" vertical="center" wrapText="1"/>
    </xf>
    <xf numFmtId="164" fontId="15" fillId="8" borderId="16" xfId="2" applyFont="1" applyFill="1" applyBorder="1" applyAlignment="1">
      <alignment horizontal="center" vertical="center" wrapText="1"/>
    </xf>
    <xf numFmtId="49" fontId="15" fillId="8" borderId="12" xfId="2" applyNumberFormat="1" applyFont="1" applyFill="1" applyBorder="1" applyAlignment="1">
      <alignment horizontal="center" vertical="center" wrapText="1"/>
    </xf>
    <xf numFmtId="49" fontId="0" fillId="0" borderId="0" xfId="2" applyNumberFormat="1" applyFont="1" applyAlignment="1">
      <alignment horizontal="center" vertical="center" wrapText="1"/>
    </xf>
    <xf numFmtId="49" fontId="8" fillId="0" borderId="0" xfId="2" applyNumberFormat="1" applyFont="1" applyAlignment="1">
      <alignment horizontal="center" vertical="center" wrapText="1"/>
    </xf>
    <xf numFmtId="49" fontId="0" fillId="0" borderId="0" xfId="0" applyNumberFormat="1"/>
    <xf numFmtId="164" fontId="18" fillId="10" borderId="18" xfId="2" applyFont="1" applyFill="1" applyBorder="1" applyAlignment="1">
      <alignment horizontal="center" vertical="center" wrapText="1"/>
    </xf>
    <xf numFmtId="0" fontId="18" fillId="8" borderId="5" xfId="0" applyFont="1" applyFill="1" applyBorder="1" applyAlignment="1">
      <alignment horizontal="center" vertical="center" wrapText="1"/>
    </xf>
    <xf numFmtId="168" fontId="15" fillId="8" borderId="14" xfId="2" applyNumberFormat="1" applyFont="1" applyFill="1" applyBorder="1" applyAlignment="1">
      <alignment horizontal="center" vertical="center"/>
    </xf>
    <xf numFmtId="49" fontId="0" fillId="0" borderId="0" xfId="2" applyNumberFormat="1" applyFont="1" applyFill="1" applyBorder="1"/>
    <xf numFmtId="49" fontId="0" fillId="0" borderId="0" xfId="2" applyNumberFormat="1" applyFont="1"/>
    <xf numFmtId="49" fontId="8" fillId="0" borderId="0" xfId="2" applyNumberFormat="1" applyFont="1"/>
    <xf numFmtId="164" fontId="20" fillId="0" borderId="0" xfId="2" applyFont="1"/>
    <xf numFmtId="164" fontId="8" fillId="0" borderId="0" xfId="2" applyFont="1" applyFill="1" applyBorder="1"/>
    <xf numFmtId="49" fontId="15" fillId="8" borderId="17" xfId="2" applyNumberFormat="1" applyFont="1" applyFill="1" applyBorder="1" applyAlignment="1">
      <alignment horizontal="center" vertical="center" wrapText="1"/>
    </xf>
    <xf numFmtId="164" fontId="3" fillId="11" borderId="1" xfId="2" applyFont="1" applyFill="1" applyBorder="1" applyAlignment="1" applyProtection="1">
      <alignment horizontal="center" vertical="center" wrapText="1"/>
      <protection locked="0"/>
    </xf>
    <xf numFmtId="0" fontId="21" fillId="3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center" vertical="center" wrapText="1"/>
    </xf>
    <xf numFmtId="164" fontId="19" fillId="2" borderId="0" xfId="2" applyFont="1" applyFill="1" applyAlignment="1">
      <alignment vertical="center" wrapText="1"/>
    </xf>
    <xf numFmtId="0" fontId="3" fillId="2" borderId="0" xfId="0" applyFont="1" applyFill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168" fontId="0" fillId="0" borderId="0" xfId="2" applyNumberFormat="1" applyFont="1" applyFill="1" applyBorder="1"/>
    <xf numFmtId="164" fontId="18" fillId="7" borderId="4" xfId="2" applyNumberFormat="1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wrapText="1"/>
      <protection locked="0"/>
    </xf>
    <xf numFmtId="0" fontId="4" fillId="2" borderId="0" xfId="0" applyFont="1" applyFill="1" applyAlignment="1" applyProtection="1">
      <alignment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16" fillId="2" borderId="0" xfId="0" applyFont="1" applyFill="1" applyBorder="1" applyAlignment="1" applyProtection="1">
      <alignment horizontal="left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</xf>
    <xf numFmtId="43" fontId="2" fillId="0" borderId="7" xfId="0" applyNumberFormat="1" applyFont="1" applyFill="1" applyBorder="1" applyAlignment="1" applyProtection="1">
      <alignment horizontal="center" vertical="center" wrapText="1"/>
    </xf>
    <xf numFmtId="0" fontId="22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169" fontId="16" fillId="6" borderId="4" xfId="2" applyNumberFormat="1" applyFont="1" applyFill="1" applyBorder="1" applyAlignment="1" applyProtection="1">
      <alignment horizontal="left" vertical="center" wrapText="1" indent="4"/>
    </xf>
    <xf numFmtId="0" fontId="18" fillId="7" borderId="6" xfId="0" applyFont="1" applyFill="1" applyBorder="1" applyAlignment="1" applyProtection="1">
      <alignment horizontal="left" vertical="center" wrapText="1"/>
      <protection locked="0"/>
    </xf>
    <xf numFmtId="0" fontId="18" fillId="7" borderId="0" xfId="0" applyFont="1" applyFill="1" applyBorder="1" applyAlignment="1" applyProtection="1">
      <alignment horizontal="left" vertical="center" wrapText="1"/>
      <protection locked="0"/>
    </xf>
    <xf numFmtId="0" fontId="23" fillId="2" borderId="0" xfId="0" applyFont="1" applyFill="1" applyBorder="1" applyAlignment="1" applyProtection="1">
      <alignment horizontal="center" vertical="center" wrapText="1"/>
    </xf>
    <xf numFmtId="0" fontId="18" fillId="7" borderId="1" xfId="0" applyFont="1" applyFill="1" applyBorder="1" applyAlignment="1" applyProtection="1">
      <alignment horizontal="center" vertical="center" wrapText="1"/>
    </xf>
    <xf numFmtId="0" fontId="18" fillId="7" borderId="2" xfId="0" applyFont="1" applyFill="1" applyBorder="1" applyAlignment="1" applyProtection="1">
      <alignment horizontal="center" vertical="center" wrapText="1"/>
    </xf>
    <xf numFmtId="0" fontId="18" fillId="7" borderId="8" xfId="0" applyFont="1" applyFill="1" applyBorder="1" applyAlignment="1" applyProtection="1">
      <alignment horizontal="right" vertical="center" wrapText="1"/>
    </xf>
    <xf numFmtId="0" fontId="18" fillId="7" borderId="9" xfId="0" applyFont="1" applyFill="1" applyBorder="1" applyAlignment="1" applyProtection="1">
      <alignment horizontal="right" vertical="center" wrapText="1"/>
    </xf>
    <xf numFmtId="0" fontId="18" fillId="7" borderId="10" xfId="0" applyFont="1" applyFill="1" applyBorder="1" applyAlignment="1" applyProtection="1">
      <alignment horizontal="right" vertical="center" wrapText="1"/>
    </xf>
    <xf numFmtId="0" fontId="18" fillId="8" borderId="6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 vertical="center"/>
    </xf>
    <xf numFmtId="9" fontId="15" fillId="8" borderId="12" xfId="1" applyFont="1" applyFill="1" applyBorder="1" applyAlignment="1">
      <alignment horizontal="center" vertical="center"/>
    </xf>
    <xf numFmtId="49" fontId="15" fillId="8" borderId="12" xfId="2" applyNumberFormat="1" applyFont="1" applyFill="1" applyBorder="1" applyAlignment="1">
      <alignment horizontal="center" vertical="center"/>
    </xf>
    <xf numFmtId="49" fontId="15" fillId="8" borderId="22" xfId="2" applyNumberFormat="1" applyFont="1" applyFill="1" applyBorder="1" applyAlignment="1">
      <alignment horizontal="center" vertical="center"/>
    </xf>
    <xf numFmtId="49" fontId="15" fillId="8" borderId="17" xfId="2" applyNumberFormat="1" applyFont="1" applyFill="1" applyBorder="1" applyAlignment="1">
      <alignment horizontal="center" vertical="center"/>
    </xf>
    <xf numFmtId="168" fontId="15" fillId="8" borderId="0" xfId="2" applyNumberFormat="1" applyFont="1" applyFill="1" applyBorder="1" applyAlignment="1">
      <alignment horizontal="center" vertical="center" wrapText="1"/>
    </xf>
    <xf numFmtId="49" fontId="15" fillId="8" borderId="22" xfId="2" applyNumberFormat="1" applyFont="1" applyFill="1" applyBorder="1" applyAlignment="1">
      <alignment horizontal="center" vertical="center" wrapText="1"/>
    </xf>
    <xf numFmtId="164" fontId="15" fillId="8" borderId="19" xfId="2" applyFont="1" applyFill="1" applyBorder="1" applyAlignment="1">
      <alignment horizontal="center" vertical="center"/>
    </xf>
    <xf numFmtId="164" fontId="15" fillId="8" borderId="23" xfId="2" applyFont="1" applyFill="1" applyBorder="1" applyAlignment="1">
      <alignment horizontal="center" vertical="center"/>
    </xf>
    <xf numFmtId="164" fontId="15" fillId="8" borderId="24" xfId="2" applyFont="1" applyFill="1" applyBorder="1" applyAlignment="1">
      <alignment horizontal="center" vertical="center"/>
    </xf>
    <xf numFmtId="164" fontId="15" fillId="8" borderId="13" xfId="2" applyFont="1" applyFill="1" applyBorder="1" applyAlignment="1">
      <alignment horizontal="center" vertical="center"/>
    </xf>
    <xf numFmtId="164" fontId="15" fillId="8" borderId="20" xfId="2" applyFont="1" applyFill="1" applyBorder="1" applyAlignment="1">
      <alignment horizontal="center" vertical="center"/>
    </xf>
    <xf numFmtId="164" fontId="15" fillId="8" borderId="21" xfId="2" applyFont="1" applyFill="1" applyBorder="1" applyAlignment="1">
      <alignment horizontal="center" vertical="center"/>
    </xf>
    <xf numFmtId="168" fontId="15" fillId="8" borderId="19" xfId="2" applyNumberFormat="1" applyFont="1" applyFill="1" applyBorder="1" applyAlignment="1">
      <alignment horizontal="center" vertical="center" wrapText="1"/>
    </xf>
    <xf numFmtId="168" fontId="15" fillId="8" borderId="13" xfId="2" applyNumberFormat="1" applyFont="1" applyFill="1" applyBorder="1" applyAlignment="1">
      <alignment horizontal="center" vertical="center" wrapText="1"/>
    </xf>
    <xf numFmtId="0" fontId="3" fillId="0" borderId="1" xfId="14" applyFont="1" applyFill="1" applyBorder="1" applyAlignment="1">
      <alignment horizontal="left" vertical="center" wrapText="1"/>
    </xf>
    <xf numFmtId="0" fontId="3" fillId="0" borderId="1" xfId="14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  <protection locked="0"/>
    </xf>
    <xf numFmtId="164" fontId="3" fillId="0" borderId="1" xfId="2" applyNumberFormat="1" applyFont="1" applyFill="1" applyBorder="1" applyAlignment="1" applyProtection="1">
      <alignment vertical="center" wrapText="1"/>
      <protection locked="0"/>
    </xf>
    <xf numFmtId="169" fontId="3" fillId="0" borderId="1" xfId="2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22" fillId="0" borderId="0" xfId="0" applyFont="1" applyFill="1" applyBorder="1" applyProtection="1">
      <protection locked="0"/>
    </xf>
    <xf numFmtId="0" fontId="23" fillId="0" borderId="0" xfId="0" applyFont="1" applyFill="1" applyBorder="1" applyAlignment="1" applyProtection="1">
      <alignment horizontal="center" vertical="center" wrapText="1"/>
    </xf>
    <xf numFmtId="0" fontId="3" fillId="0" borderId="1" xfId="14" applyFont="1" applyFill="1" applyBorder="1" applyAlignment="1" applyProtection="1">
      <alignment horizontal="left" vertical="center" wrapText="1"/>
      <protection locked="0"/>
    </xf>
    <xf numFmtId="0" fontId="3" fillId="0" borderId="1" xfId="14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</xf>
    <xf numFmtId="0" fontId="28" fillId="0" borderId="11" xfId="0" applyFont="1" applyBorder="1" applyAlignment="1" applyProtection="1">
      <alignment horizontal="center" vertical="center"/>
    </xf>
    <xf numFmtId="0" fontId="18" fillId="7" borderId="6" xfId="0" applyFont="1" applyFill="1" applyBorder="1" applyAlignment="1" applyProtection="1">
      <alignment horizontal="center" vertical="center" wrapText="1"/>
      <protection locked="0"/>
    </xf>
    <xf numFmtId="0" fontId="18" fillId="7" borderId="0" xfId="0" applyFont="1" applyFill="1" applyBorder="1" applyAlignment="1" applyProtection="1">
      <alignment horizontal="center" vertical="center" wrapText="1"/>
      <protection locked="0"/>
    </xf>
    <xf numFmtId="0" fontId="0" fillId="4" borderId="6" xfId="0" applyFont="1" applyFill="1" applyBorder="1" applyAlignment="1" applyProtection="1">
      <alignment horizontal="left" vertical="center" wrapText="1"/>
      <protection locked="0"/>
    </xf>
    <xf numFmtId="0" fontId="0" fillId="4" borderId="0" xfId="0" applyFont="1" applyFill="1" applyBorder="1" applyAlignment="1" applyProtection="1">
      <alignment horizontal="left" vertical="center" wrapText="1"/>
      <protection locked="0"/>
    </xf>
    <xf numFmtId="0" fontId="18" fillId="7" borderId="25" xfId="0" applyFont="1" applyFill="1" applyBorder="1" applyAlignment="1" applyProtection="1">
      <alignment horizontal="center" vertical="center" wrapText="1"/>
    </xf>
  </cellXfs>
  <cellStyles count="22">
    <cellStyle name="Moeda 2" xfId="4" xr:uid="{00000000-0005-0000-0000-000001000000}"/>
    <cellStyle name="Moeda 2 2" xfId="16" xr:uid="{668C1C44-94A1-4693-871C-2ED60881C7F4}"/>
    <cellStyle name="Moeda 3" xfId="21" xr:uid="{DE3622A3-C252-42FA-A8BC-8EA369D26566}"/>
    <cellStyle name="Normal" xfId="0" builtinId="0"/>
    <cellStyle name="Normal 2" xfId="3" xr:uid="{00000000-0005-0000-0000-000003000000}"/>
    <cellStyle name="Normal 2 2" xfId="12" xr:uid="{00000000-0005-0000-0000-000004000000}"/>
    <cellStyle name="Normal 3" xfId="6" xr:uid="{00000000-0005-0000-0000-000005000000}"/>
    <cellStyle name="Normal 3 2" xfId="7" xr:uid="{00000000-0005-0000-0000-000006000000}"/>
    <cellStyle name="Normal 3 2 2" xfId="11" xr:uid="{00000000-0005-0000-0000-000007000000}"/>
    <cellStyle name="Normal 5" xfId="14" xr:uid="{00000000-0005-0000-0000-000008000000}"/>
    <cellStyle name="Porcentagem" xfId="1" builtinId="5"/>
    <cellStyle name="Porcentagem 2" xfId="10" xr:uid="{00000000-0005-0000-0000-00000A000000}"/>
    <cellStyle name="Separador de milhares 2" xfId="13" xr:uid="{00000000-0005-0000-0000-00000B000000}"/>
    <cellStyle name="Vírgula" xfId="2" builtinId="3"/>
    <cellStyle name="Vírgula 2" xfId="5" xr:uid="{00000000-0005-0000-0000-00000D000000}"/>
    <cellStyle name="Vírgula 2 2" xfId="9" xr:uid="{00000000-0005-0000-0000-00000E000000}"/>
    <cellStyle name="Vírgula 2 2 2" xfId="19" xr:uid="{C7C6F143-36D5-4AF8-B622-134B757B2CE8}"/>
    <cellStyle name="Vírgula 2 3" xfId="17" xr:uid="{F98E6F00-0508-4E68-93C0-7BC6B2135F15}"/>
    <cellStyle name="Vírgula 4" xfId="8" xr:uid="{00000000-0005-0000-0000-00000F000000}"/>
    <cellStyle name="Vírgula 4 2" xfId="18" xr:uid="{09CA7EED-3B2B-4710-B5E1-040A3D2D02A7}"/>
    <cellStyle name="Vírgula 5" xfId="15" xr:uid="{00000000-0005-0000-0000-000010000000}"/>
    <cellStyle name="Vírgula 5 2" xfId="20" xr:uid="{7E572DAD-6609-4594-AB5E-1FD84627B38C}"/>
  </cellStyles>
  <dxfs count="3"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2A5664"/>
      <color rgb="FFE6FB7D"/>
      <color rgb="FFD1E3F3"/>
      <color rgb="FF5E9AA6"/>
      <color rgb="FFDEEBF6"/>
      <color rgb="FFE4F0F0"/>
      <color rgb="FF006871"/>
      <color rgb="FF5E9AC4"/>
      <color rgb="FFFFFADE"/>
      <color rgb="FFFFF7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\H\Users\patriciagomo\Desktop\Reprograma&#231;&#227;o%202020\Tabelas%20Diretrizes%20-%20Reprog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03\fs-caubr\Users\patriciagomo\Desktop\Tabelas%20Diretrizes%20-%20Reprog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1"/>
      <sheetName val="QUADRO 2"/>
      <sheetName val="QUADRO 3"/>
      <sheetName val="QUADRO 4"/>
      <sheetName val="Simulação de %"/>
      <sheetName val="Estudos - Receita"/>
      <sheetName val="ANEXO I"/>
      <sheetName val="ANEXO II"/>
      <sheetName val="ANEXO III e Anexo IX"/>
      <sheetName val="Estudos - Quant. PF"/>
      <sheetName val="NOVOS EGRESSOS"/>
      <sheetName val="Estudos-Percentuais"/>
      <sheetName val="ANEXO IV"/>
      <sheetName val="ANEXO V"/>
      <sheetName val="Estudos - Quant. PJ"/>
      <sheetName val="ANEXO VI"/>
      <sheetName val="ANEXO VII"/>
      <sheetName val="ANEXO VIII"/>
      <sheetName val="ANEXO X Aporte FA"/>
      <sheetName val="ANEXO X.I Repasse FA"/>
      <sheetName val="ANEXO XI CSC Total"/>
      <sheetName val="ANEXO XI.I CSC RIA"/>
      <sheetName val="ANEXO XI.II CSC Essencial"/>
      <sheetName val="ANEXO XI.III - RIA Enc. dContas"/>
      <sheetName val="ANEXO XII"/>
      <sheetName val="XIII. TAXAS BANCÁRIAS"/>
      <sheetName val="NOVO SISCAF"/>
      <sheetName val="Gráficos e Tabelas"/>
      <sheetName val="Resumo - Ajuste pelos UFs"/>
      <sheetName val="Resu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XFB1">
            <v>0.05</v>
          </cell>
        </row>
        <row r="2">
          <cell r="XFB2">
            <v>0.1</v>
          </cell>
        </row>
        <row r="3">
          <cell r="XFB3">
            <v>0.15</v>
          </cell>
        </row>
        <row r="4">
          <cell r="XFB4">
            <v>0.2</v>
          </cell>
        </row>
        <row r="5">
          <cell r="XFB5">
            <v>0.25</v>
          </cell>
        </row>
        <row r="6">
          <cell r="XFB6">
            <v>0.3</v>
          </cell>
        </row>
        <row r="7">
          <cell r="XFB7">
            <v>0.35</v>
          </cell>
        </row>
        <row r="8">
          <cell r="XFB8">
            <v>0.4</v>
          </cell>
        </row>
        <row r="9">
          <cell r="XFB9">
            <v>0.45</v>
          </cell>
        </row>
        <row r="10">
          <cell r="XFB10">
            <v>0.5</v>
          </cell>
        </row>
        <row r="11">
          <cell r="XFB11">
            <v>0.55000000000000004</v>
          </cell>
        </row>
        <row r="12">
          <cell r="XFB12">
            <v>0.6</v>
          </cell>
        </row>
        <row r="13">
          <cell r="XFB13">
            <v>0.65</v>
          </cell>
        </row>
        <row r="14">
          <cell r="XFB14">
            <v>0.7</v>
          </cell>
        </row>
        <row r="15">
          <cell r="XFB15">
            <v>0.75</v>
          </cell>
        </row>
        <row r="16">
          <cell r="XFB16">
            <v>0.8</v>
          </cell>
        </row>
        <row r="17">
          <cell r="XFB17">
            <v>0.85</v>
          </cell>
        </row>
        <row r="18">
          <cell r="XFB18">
            <v>0.9</v>
          </cell>
        </row>
        <row r="19">
          <cell r="XFB19">
            <v>0.95</v>
          </cell>
        </row>
        <row r="20">
          <cell r="XFB20">
            <v>1</v>
          </cell>
        </row>
      </sheetData>
      <sheetData sheetId="6">
        <row r="5">
          <cell r="C5">
            <v>586</v>
          </cell>
        </row>
      </sheetData>
      <sheetData sheetId="7" refreshError="1"/>
      <sheetData sheetId="8">
        <row r="6">
          <cell r="AX6">
            <v>67439.888000000006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J2" t="str">
            <v>PJ até 2 anos com sócio AU formado até 2 anos</v>
          </cell>
          <cell r="L2" t="str">
            <v>Relatório 14</v>
          </cell>
          <cell r="M2">
            <v>0</v>
          </cell>
          <cell r="N2">
            <v>0</v>
          </cell>
          <cell r="O2">
            <v>0</v>
          </cell>
        </row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L4" t="str">
            <v>Situação de Registro Ativo</v>
          </cell>
          <cell r="M4" t="str">
            <v>Inativos</v>
          </cell>
          <cell r="N4" t="str">
            <v>Pagantes</v>
          </cell>
          <cell r="O4" t="str">
            <v>0/1</v>
          </cell>
        </row>
        <row r="5">
          <cell r="N5">
            <v>32</v>
          </cell>
          <cell r="O5">
            <v>7</v>
          </cell>
        </row>
        <row r="6">
          <cell r="N6">
            <v>63</v>
          </cell>
          <cell r="O6">
            <v>12</v>
          </cell>
        </row>
        <row r="7">
          <cell r="N7">
            <v>37</v>
          </cell>
          <cell r="O7">
            <v>10</v>
          </cell>
        </row>
        <row r="8">
          <cell r="N8">
            <v>89</v>
          </cell>
          <cell r="O8">
            <v>12</v>
          </cell>
        </row>
        <row r="9">
          <cell r="N9">
            <v>56</v>
          </cell>
          <cell r="O9">
            <v>13</v>
          </cell>
        </row>
        <row r="10">
          <cell r="N10">
            <v>14</v>
          </cell>
          <cell r="O10">
            <v>0</v>
          </cell>
        </row>
        <row r="11">
          <cell r="N11">
            <v>41</v>
          </cell>
          <cell r="O11">
            <v>5</v>
          </cell>
        </row>
        <row r="12">
          <cell r="N12">
            <v>332</v>
          </cell>
          <cell r="O12">
            <v>59</v>
          </cell>
        </row>
        <row r="13">
          <cell r="N13">
            <v>41</v>
          </cell>
          <cell r="O13">
            <v>5</v>
          </cell>
        </row>
        <row r="14">
          <cell r="N14">
            <v>283</v>
          </cell>
          <cell r="O14">
            <v>28</v>
          </cell>
        </row>
        <row r="15">
          <cell r="N15">
            <v>139</v>
          </cell>
          <cell r="O15">
            <v>7</v>
          </cell>
        </row>
        <row r="16">
          <cell r="N16">
            <v>49</v>
          </cell>
          <cell r="O16">
            <v>5</v>
          </cell>
        </row>
        <row r="17">
          <cell r="N17">
            <v>87</v>
          </cell>
          <cell r="O17">
            <v>11</v>
          </cell>
        </row>
        <row r="18">
          <cell r="N18">
            <v>205</v>
          </cell>
          <cell r="O18">
            <v>19</v>
          </cell>
        </row>
        <row r="19">
          <cell r="N19">
            <v>70</v>
          </cell>
          <cell r="O19">
            <v>13</v>
          </cell>
        </row>
        <row r="20">
          <cell r="N20">
            <v>72</v>
          </cell>
          <cell r="O20">
            <v>6</v>
          </cell>
        </row>
        <row r="21">
          <cell r="N21">
            <v>57</v>
          </cell>
          <cell r="O21">
            <v>6</v>
          </cell>
        </row>
        <row r="22">
          <cell r="N22">
            <v>1003</v>
          </cell>
          <cell r="O22">
            <v>100</v>
          </cell>
        </row>
        <row r="23">
          <cell r="N23">
            <v>222</v>
          </cell>
          <cell r="O23">
            <v>27</v>
          </cell>
        </row>
        <row r="24">
          <cell r="N24">
            <v>212</v>
          </cell>
          <cell r="O24">
            <v>47</v>
          </cell>
        </row>
        <row r="25">
          <cell r="N25">
            <v>182</v>
          </cell>
          <cell r="O25">
            <v>26</v>
          </cell>
        </row>
        <row r="26">
          <cell r="N26">
            <v>172</v>
          </cell>
          <cell r="O26">
            <v>22</v>
          </cell>
        </row>
        <row r="27">
          <cell r="N27">
            <v>788</v>
          </cell>
          <cell r="O27">
            <v>122</v>
          </cell>
        </row>
        <row r="28">
          <cell r="N28">
            <v>225</v>
          </cell>
          <cell r="O28">
            <v>13</v>
          </cell>
        </row>
        <row r="29">
          <cell r="N29">
            <v>738</v>
          </cell>
          <cell r="O29">
            <v>69</v>
          </cell>
        </row>
        <row r="30">
          <cell r="N30">
            <v>1078</v>
          </cell>
          <cell r="O30">
            <v>82</v>
          </cell>
        </row>
        <row r="31">
          <cell r="N31">
            <v>3458</v>
          </cell>
          <cell r="O31">
            <v>154</v>
          </cell>
        </row>
        <row r="32">
          <cell r="N32">
            <v>5499</v>
          </cell>
          <cell r="O32">
            <v>318</v>
          </cell>
        </row>
        <row r="33">
          <cell r="N33">
            <v>1058</v>
          </cell>
          <cell r="O33">
            <v>125</v>
          </cell>
        </row>
        <row r="34">
          <cell r="N34">
            <v>949</v>
          </cell>
          <cell r="O34">
            <v>87</v>
          </cell>
        </row>
        <row r="35">
          <cell r="N35">
            <v>649</v>
          </cell>
          <cell r="O35">
            <v>70</v>
          </cell>
        </row>
        <row r="36">
          <cell r="N36">
            <v>2656</v>
          </cell>
          <cell r="O36">
            <v>282</v>
          </cell>
        </row>
        <row r="37">
          <cell r="N37">
            <v>10278</v>
          </cell>
          <cell r="O37">
            <v>881</v>
          </cell>
        </row>
      </sheetData>
      <sheetData sheetId="15" refreshError="1"/>
      <sheetData sheetId="16" refreshError="1"/>
      <sheetData sheetId="17" refreshError="1"/>
      <sheetData sheetId="18">
        <row r="3">
          <cell r="A3" t="str">
            <v>SP</v>
          </cell>
        </row>
      </sheetData>
      <sheetData sheetId="19">
        <row r="30">
          <cell r="A30" t="str">
            <v>RR</v>
          </cell>
        </row>
      </sheetData>
      <sheetData sheetId="20">
        <row r="3">
          <cell r="D3">
            <v>2726.8547648527197</v>
          </cell>
        </row>
      </sheetData>
      <sheetData sheetId="21" refreshError="1"/>
      <sheetData sheetId="22" refreshError="1"/>
      <sheetData sheetId="23">
        <row r="2">
          <cell r="A2" t="str">
            <v>AC</v>
          </cell>
        </row>
      </sheetData>
      <sheetData sheetId="24">
        <row r="10">
          <cell r="A10" t="str">
            <v>RR</v>
          </cell>
        </row>
      </sheetData>
      <sheetData sheetId="25">
        <row r="3">
          <cell r="A3" t="str">
            <v>AC</v>
          </cell>
        </row>
      </sheetData>
      <sheetData sheetId="26" refreshError="1"/>
      <sheetData sheetId="27" refreshError="1"/>
      <sheetData sheetId="28" refreshError="1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1"/>
      <sheetName val="QUADRO 2"/>
      <sheetName val="QUADRO 3"/>
      <sheetName val="QUADRO 4"/>
      <sheetName val="Simulação de %"/>
      <sheetName val="Estudos - Receita"/>
      <sheetName val="ANEXO I"/>
      <sheetName val="ANEXO II"/>
      <sheetName val="ANEXO III e Anexo IX"/>
      <sheetName val="Estudos - Quant. PF"/>
      <sheetName val="NOVOS EGRESSOS"/>
      <sheetName val="Estudos-Percentuais"/>
      <sheetName val="ANEXO IV"/>
      <sheetName val="ANEXO V"/>
      <sheetName val="Estudos - Quant. PJ"/>
      <sheetName val="ANEXO VI"/>
      <sheetName val="ANEXO VII"/>
      <sheetName val="ANEXO VIII"/>
      <sheetName val="ANEXO X Aporte FA"/>
      <sheetName val="ANEXO X.I Repasse FA"/>
      <sheetName val="ANEXO XI CSC Total"/>
      <sheetName val="ANEXO XI.I CSC RIA"/>
      <sheetName val="ANEXO XI.II CSC Essencial"/>
      <sheetName val="ANEXO XI.III - RIA Enc. dContas"/>
      <sheetName val="ANEXO XII"/>
      <sheetName val="XIII. TAXAS BANCÁRIAS"/>
      <sheetName val="NOVO SISCAF"/>
      <sheetName val="Gráficos e Tabelas"/>
      <sheetName val="Resumo - Ajuste pelos UFs"/>
      <sheetName val="Resumo"/>
      <sheetName val="QUADRO_1"/>
      <sheetName val="QUADRO_2"/>
      <sheetName val="QUADRO_3"/>
      <sheetName val="QUADRO_4"/>
      <sheetName val="Simulação_de_%"/>
      <sheetName val="Estudos_-_Receita"/>
      <sheetName val="ANEXO_I"/>
      <sheetName val="ANEXO_II"/>
      <sheetName val="ANEXO_III_e_Anexo_IX"/>
      <sheetName val="Estudos_-_Quant__PF"/>
      <sheetName val="NOVOS_EGRESSOS"/>
      <sheetName val="ANEXO_IV"/>
      <sheetName val="ANEXO_V"/>
      <sheetName val="Estudos_-_Quant__PJ"/>
      <sheetName val="ANEXO_VI"/>
      <sheetName val="ANEXO_VII"/>
      <sheetName val="ANEXO_VIII"/>
      <sheetName val="ANEXO_X_Aporte_FA"/>
      <sheetName val="ANEXO_X_I_Repasse_FA"/>
      <sheetName val="ANEXO_XI_CSC_Total"/>
      <sheetName val="ANEXO_XI_I_CSC_RIA"/>
      <sheetName val="ANEXO_XI_II_CSC_Essencial"/>
      <sheetName val="ANEXO_XI_III_-_RIA_Enc__dContas"/>
      <sheetName val="ANEXO_XII"/>
      <sheetName val="XIII__TAXAS_BANCÁRIAS"/>
      <sheetName val="NOVO_SISCAF"/>
      <sheetName val="Gráficos_e_Tabelas"/>
      <sheetName val="Resumo_-_Ajuste_pelos_UFs"/>
      <sheetName val="Resumo."/>
      <sheetName val="AÇÕES ESTRATÉGICAS - DESCRIÇ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XFB1">
            <v>0.05</v>
          </cell>
        </row>
        <row r="2">
          <cell r="XFB2">
            <v>0.1</v>
          </cell>
        </row>
        <row r="3">
          <cell r="XFB3">
            <v>0.15</v>
          </cell>
        </row>
        <row r="4">
          <cell r="XFB4">
            <v>0.2</v>
          </cell>
        </row>
        <row r="5">
          <cell r="XFB5">
            <v>0.25</v>
          </cell>
        </row>
        <row r="6">
          <cell r="XFB6">
            <v>0.3</v>
          </cell>
        </row>
        <row r="7">
          <cell r="XFB7">
            <v>0.35</v>
          </cell>
        </row>
        <row r="8">
          <cell r="XFB8">
            <v>0.4</v>
          </cell>
        </row>
        <row r="9">
          <cell r="XFB9">
            <v>0.45</v>
          </cell>
        </row>
        <row r="10">
          <cell r="XFB10">
            <v>0.5</v>
          </cell>
        </row>
        <row r="11">
          <cell r="XFB11">
            <v>0.55000000000000004</v>
          </cell>
        </row>
        <row r="12">
          <cell r="XFB12">
            <v>0.6</v>
          </cell>
        </row>
        <row r="13">
          <cell r="XFB13">
            <v>0.65</v>
          </cell>
        </row>
        <row r="14">
          <cell r="XFB14">
            <v>0.7</v>
          </cell>
        </row>
        <row r="15">
          <cell r="XFB15">
            <v>0.75</v>
          </cell>
        </row>
        <row r="16">
          <cell r="XFB16">
            <v>0.8</v>
          </cell>
        </row>
        <row r="17">
          <cell r="XFB17">
            <v>0.85</v>
          </cell>
        </row>
        <row r="18">
          <cell r="XFB18">
            <v>0.9</v>
          </cell>
        </row>
        <row r="19">
          <cell r="XFB19">
            <v>0.95</v>
          </cell>
        </row>
        <row r="20">
          <cell r="XFB20">
            <v>1</v>
          </cell>
        </row>
      </sheetData>
      <sheetData sheetId="6">
        <row r="5">
          <cell r="C5">
            <v>586</v>
          </cell>
        </row>
      </sheetData>
      <sheetData sheetId="7" refreshError="1"/>
      <sheetData sheetId="8">
        <row r="6">
          <cell r="AX6">
            <v>67439.888000000006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J2" t="str">
            <v>PJ até 2 anos com sócio AU formado até 2 anos</v>
          </cell>
          <cell r="L2" t="str">
            <v>Relatório 14</v>
          </cell>
        </row>
        <row r="4">
          <cell r="L4" t="str">
            <v>Situação de Registro Ativo</v>
          </cell>
          <cell r="M4" t="str">
            <v>Inativos</v>
          </cell>
          <cell r="N4" t="str">
            <v>Pagantes</v>
          </cell>
          <cell r="O4" t="str">
            <v>0/1</v>
          </cell>
        </row>
        <row r="5">
          <cell r="N5">
            <v>32</v>
          </cell>
          <cell r="O5">
            <v>7</v>
          </cell>
        </row>
        <row r="6">
          <cell r="N6">
            <v>63</v>
          </cell>
          <cell r="O6">
            <v>12</v>
          </cell>
        </row>
        <row r="7">
          <cell r="N7">
            <v>37</v>
          </cell>
          <cell r="O7">
            <v>10</v>
          </cell>
        </row>
        <row r="8">
          <cell r="N8">
            <v>89</v>
          </cell>
          <cell r="O8">
            <v>12</v>
          </cell>
        </row>
        <row r="9">
          <cell r="N9">
            <v>56</v>
          </cell>
          <cell r="O9">
            <v>13</v>
          </cell>
        </row>
        <row r="10">
          <cell r="N10">
            <v>14</v>
          </cell>
          <cell r="O10">
            <v>0</v>
          </cell>
        </row>
        <row r="11">
          <cell r="N11">
            <v>41</v>
          </cell>
          <cell r="O11">
            <v>5</v>
          </cell>
        </row>
        <row r="12">
          <cell r="N12">
            <v>332</v>
          </cell>
          <cell r="O12">
            <v>59</v>
          </cell>
        </row>
        <row r="13">
          <cell r="N13">
            <v>41</v>
          </cell>
          <cell r="O13">
            <v>5</v>
          </cell>
        </row>
        <row r="14">
          <cell r="N14">
            <v>283</v>
          </cell>
          <cell r="O14">
            <v>28</v>
          </cell>
        </row>
        <row r="15">
          <cell r="N15">
            <v>139</v>
          </cell>
          <cell r="O15">
            <v>7</v>
          </cell>
        </row>
        <row r="16">
          <cell r="N16">
            <v>49</v>
          </cell>
          <cell r="O16">
            <v>5</v>
          </cell>
        </row>
        <row r="17">
          <cell r="N17">
            <v>87</v>
          </cell>
          <cell r="O17">
            <v>11</v>
          </cell>
        </row>
        <row r="18">
          <cell r="N18">
            <v>205</v>
          </cell>
          <cell r="O18">
            <v>19</v>
          </cell>
        </row>
        <row r="19">
          <cell r="N19">
            <v>70</v>
          </cell>
          <cell r="O19">
            <v>13</v>
          </cell>
        </row>
        <row r="20">
          <cell r="N20">
            <v>72</v>
          </cell>
          <cell r="O20">
            <v>6</v>
          </cell>
        </row>
        <row r="21">
          <cell r="N21">
            <v>57</v>
          </cell>
          <cell r="O21">
            <v>6</v>
          </cell>
        </row>
        <row r="22">
          <cell r="N22">
            <v>1003</v>
          </cell>
          <cell r="O22">
            <v>100</v>
          </cell>
        </row>
        <row r="23">
          <cell r="N23">
            <v>222</v>
          </cell>
          <cell r="O23">
            <v>27</v>
          </cell>
        </row>
        <row r="24">
          <cell r="N24">
            <v>212</v>
          </cell>
          <cell r="O24">
            <v>47</v>
          </cell>
        </row>
        <row r="25">
          <cell r="N25">
            <v>182</v>
          </cell>
          <cell r="O25">
            <v>26</v>
          </cell>
        </row>
        <row r="26">
          <cell r="N26">
            <v>172</v>
          </cell>
          <cell r="O26">
            <v>22</v>
          </cell>
        </row>
        <row r="27">
          <cell r="N27">
            <v>788</v>
          </cell>
          <cell r="O27">
            <v>122</v>
          </cell>
        </row>
        <row r="28">
          <cell r="N28">
            <v>225</v>
          </cell>
          <cell r="O28">
            <v>13</v>
          </cell>
        </row>
        <row r="29">
          <cell r="N29">
            <v>738</v>
          </cell>
          <cell r="O29">
            <v>69</v>
          </cell>
        </row>
        <row r="30">
          <cell r="N30">
            <v>1078</v>
          </cell>
          <cell r="O30">
            <v>82</v>
          </cell>
        </row>
        <row r="31">
          <cell r="N31">
            <v>3458</v>
          </cell>
          <cell r="O31">
            <v>154</v>
          </cell>
        </row>
        <row r="32">
          <cell r="N32">
            <v>5499</v>
          </cell>
          <cell r="O32">
            <v>318</v>
          </cell>
        </row>
        <row r="33">
          <cell r="N33">
            <v>1058</v>
          </cell>
          <cell r="O33">
            <v>125</v>
          </cell>
        </row>
        <row r="34">
          <cell r="N34">
            <v>949</v>
          </cell>
          <cell r="O34">
            <v>87</v>
          </cell>
        </row>
        <row r="35">
          <cell r="N35">
            <v>649</v>
          </cell>
          <cell r="O35">
            <v>70</v>
          </cell>
        </row>
        <row r="36">
          <cell r="N36">
            <v>2656</v>
          </cell>
          <cell r="O36">
            <v>282</v>
          </cell>
        </row>
        <row r="37">
          <cell r="N37">
            <v>10278</v>
          </cell>
          <cell r="O37">
            <v>881</v>
          </cell>
        </row>
      </sheetData>
      <sheetData sheetId="15" refreshError="1"/>
      <sheetData sheetId="16" refreshError="1"/>
      <sheetData sheetId="17" refreshError="1"/>
      <sheetData sheetId="18">
        <row r="3">
          <cell r="A3" t="str">
            <v>SP</v>
          </cell>
        </row>
      </sheetData>
      <sheetData sheetId="19">
        <row r="30">
          <cell r="A30" t="str">
            <v>RR</v>
          </cell>
        </row>
      </sheetData>
      <sheetData sheetId="20">
        <row r="3">
          <cell r="D3">
            <v>2726.8547648527197</v>
          </cell>
        </row>
      </sheetData>
      <sheetData sheetId="21" refreshError="1"/>
      <sheetData sheetId="22" refreshError="1"/>
      <sheetData sheetId="23">
        <row r="2">
          <cell r="A2" t="str">
            <v>AC</v>
          </cell>
        </row>
      </sheetData>
      <sheetData sheetId="24">
        <row r="10">
          <cell r="A10" t="str">
            <v>RR</v>
          </cell>
        </row>
      </sheetData>
      <sheetData sheetId="25">
        <row r="3">
          <cell r="A3" t="str">
            <v>AC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2">
          <cell r="J2" t="str">
            <v>PJ até 2 anos com sócio AU formado até 2 anos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5">
    <tabColor rgb="FFFF0000"/>
    <pageSetUpPr fitToPage="1"/>
  </sheetPr>
  <dimension ref="A1:R27"/>
  <sheetViews>
    <sheetView showGridLines="0" tabSelected="1" view="pageBreakPreview" topLeftCell="A16" zoomScale="55" zoomScaleNormal="70" zoomScaleSheetLayoutView="55" workbookViewId="0">
      <selection activeCell="G5" sqref="G5:G6"/>
    </sheetView>
  </sheetViews>
  <sheetFormatPr defaultColWidth="9.140625" defaultRowHeight="26.25" x14ac:dyDescent="0.4"/>
  <cols>
    <col min="1" max="1" width="23.5703125" style="63" customWidth="1"/>
    <col min="2" max="2" width="9.85546875" style="63" customWidth="1"/>
    <col min="3" max="3" width="40.7109375" style="63" customWidth="1"/>
    <col min="4" max="4" width="62.42578125" style="63" customWidth="1"/>
    <col min="5" max="5" width="62.5703125" style="63" customWidth="1"/>
    <col min="6" max="7" width="22.5703125" style="63" customWidth="1"/>
    <col min="8" max="8" width="19.7109375" style="63" customWidth="1"/>
    <col min="9" max="9" width="17.42578125" style="63" customWidth="1"/>
    <col min="10" max="10" width="25" style="63" bestFit="1" customWidth="1"/>
    <col min="11" max="11" width="9.140625" style="63"/>
    <col min="12" max="12" width="31" style="63" customWidth="1"/>
    <col min="13" max="18" width="9.140625" style="63"/>
    <col min="19" max="16384" width="9.140625" style="66"/>
  </cols>
  <sheetData>
    <row r="1" spans="1:18" s="69" customFormat="1" x14ac:dyDescent="0.25">
      <c r="A1" s="77" t="s">
        <v>211</v>
      </c>
      <c r="B1" s="78"/>
      <c r="C1" s="78"/>
      <c r="D1" s="78"/>
      <c r="E1" s="78"/>
      <c r="F1" s="78"/>
      <c r="G1" s="78"/>
      <c r="H1" s="78"/>
      <c r="I1" s="78"/>
      <c r="J1" s="78"/>
      <c r="K1" s="68"/>
      <c r="L1" s="68"/>
      <c r="M1" s="68"/>
      <c r="N1" s="68"/>
      <c r="O1" s="68"/>
      <c r="P1" s="68"/>
      <c r="Q1" s="68"/>
      <c r="R1" s="68"/>
    </row>
    <row r="2" spans="1:18" s="69" customFormat="1" x14ac:dyDescent="0.25">
      <c r="A2" s="77" t="s">
        <v>212</v>
      </c>
      <c r="B2" s="78"/>
      <c r="C2" s="78"/>
      <c r="D2" s="78"/>
      <c r="E2" s="78"/>
      <c r="F2" s="78"/>
      <c r="G2" s="78"/>
      <c r="H2" s="78"/>
      <c r="I2" s="78"/>
      <c r="J2" s="78"/>
      <c r="K2" s="68"/>
      <c r="L2" s="68"/>
      <c r="M2" s="68"/>
      <c r="N2" s="68"/>
      <c r="O2" s="68"/>
      <c r="P2" s="68"/>
      <c r="Q2" s="68"/>
      <c r="R2" s="68"/>
    </row>
    <row r="3" spans="1:18" s="67" customFormat="1" x14ac:dyDescent="0.4">
      <c r="A3" s="70"/>
      <c r="B3" s="70"/>
      <c r="C3" s="70"/>
      <c r="D3" s="70"/>
      <c r="E3" s="70"/>
      <c r="F3" s="70"/>
      <c r="G3" s="70"/>
      <c r="H3" s="70"/>
      <c r="I3" s="70"/>
      <c r="J3" s="62"/>
      <c r="K3" s="75"/>
      <c r="L3" s="75"/>
      <c r="M3" s="75"/>
      <c r="N3" s="62"/>
      <c r="O3" s="62"/>
      <c r="P3" s="62"/>
      <c r="Q3" s="62"/>
      <c r="R3" s="62"/>
    </row>
    <row r="4" spans="1:18" s="69" customFormat="1" x14ac:dyDescent="0.25">
      <c r="A4" s="80" t="s">
        <v>27</v>
      </c>
      <c r="B4" s="80"/>
      <c r="C4" s="80"/>
      <c r="D4" s="80"/>
      <c r="E4" s="80"/>
      <c r="F4" s="80"/>
      <c r="G4" s="80"/>
      <c r="H4" s="80"/>
      <c r="I4" s="80"/>
      <c r="J4" s="80"/>
      <c r="K4" s="74"/>
      <c r="L4" s="74"/>
      <c r="M4" s="74"/>
      <c r="N4" s="68"/>
      <c r="O4" s="68"/>
      <c r="P4" s="68"/>
      <c r="Q4" s="68"/>
      <c r="R4" s="68"/>
    </row>
    <row r="5" spans="1:18" s="69" customFormat="1" ht="41.25" customHeight="1" x14ac:dyDescent="0.35">
      <c r="A5" s="80" t="s">
        <v>1</v>
      </c>
      <c r="B5" s="80" t="s">
        <v>168</v>
      </c>
      <c r="C5" s="80" t="s">
        <v>2</v>
      </c>
      <c r="D5" s="80" t="s">
        <v>22</v>
      </c>
      <c r="E5" s="80" t="s">
        <v>169</v>
      </c>
      <c r="F5" s="80" t="s">
        <v>213</v>
      </c>
      <c r="G5" s="114" t="s">
        <v>209</v>
      </c>
      <c r="H5" s="114" t="s">
        <v>210</v>
      </c>
      <c r="I5" s="120" t="s">
        <v>215</v>
      </c>
      <c r="J5" s="80" t="s">
        <v>167</v>
      </c>
      <c r="K5" s="73"/>
      <c r="L5" s="73"/>
      <c r="M5" s="74"/>
      <c r="N5" s="68"/>
      <c r="O5" s="68"/>
      <c r="P5" s="68"/>
      <c r="Q5" s="68"/>
      <c r="R5" s="68"/>
    </row>
    <row r="6" spans="1:18" s="69" customFormat="1" ht="41.25" customHeight="1" x14ac:dyDescent="0.25">
      <c r="A6" s="80"/>
      <c r="B6" s="80"/>
      <c r="C6" s="80"/>
      <c r="D6" s="80"/>
      <c r="E6" s="80"/>
      <c r="F6" s="80"/>
      <c r="G6" s="114"/>
      <c r="H6" s="114"/>
      <c r="I6" s="81"/>
      <c r="J6" s="80"/>
      <c r="K6" s="79"/>
      <c r="L6" s="79"/>
      <c r="M6" s="74"/>
      <c r="N6" s="68"/>
      <c r="O6" s="68"/>
      <c r="P6" s="68"/>
      <c r="Q6" s="68"/>
      <c r="R6" s="68"/>
    </row>
    <row r="7" spans="1:18" s="109" customFormat="1" ht="31.5" x14ac:dyDescent="0.25">
      <c r="A7" s="102" t="s">
        <v>170</v>
      </c>
      <c r="B7" s="103" t="s">
        <v>86</v>
      </c>
      <c r="C7" s="104" t="s">
        <v>172</v>
      </c>
      <c r="D7" s="102" t="s">
        <v>188</v>
      </c>
      <c r="E7" s="104" t="s">
        <v>190</v>
      </c>
      <c r="F7" s="105">
        <v>10000</v>
      </c>
      <c r="G7" s="105">
        <v>10000</v>
      </c>
      <c r="H7" s="105">
        <v>0</v>
      </c>
      <c r="I7" s="106">
        <f>IFERROR(H7/G7*100,)</f>
        <v>0</v>
      </c>
      <c r="J7" s="104" t="s">
        <v>207</v>
      </c>
      <c r="K7" s="79"/>
      <c r="L7" s="79"/>
      <c r="M7" s="107"/>
      <c r="N7" s="108"/>
      <c r="O7" s="108"/>
      <c r="P7" s="108"/>
      <c r="Q7" s="108"/>
      <c r="R7" s="108"/>
    </row>
    <row r="8" spans="1:18" s="109" customFormat="1" ht="31.5" x14ac:dyDescent="0.25">
      <c r="A8" s="102" t="s">
        <v>171</v>
      </c>
      <c r="B8" s="103" t="s">
        <v>86</v>
      </c>
      <c r="C8" s="104" t="s">
        <v>173</v>
      </c>
      <c r="D8" s="102" t="s">
        <v>14</v>
      </c>
      <c r="E8" s="104" t="s">
        <v>191</v>
      </c>
      <c r="F8" s="105">
        <v>35000</v>
      </c>
      <c r="G8" s="105">
        <v>35000</v>
      </c>
      <c r="H8" s="105">
        <v>29000</v>
      </c>
      <c r="I8" s="106">
        <f t="shared" ref="I8:I24" si="0">IFERROR(H8/G8*100,)</f>
        <v>82.857142857142861</v>
      </c>
      <c r="J8" s="104" t="s">
        <v>206</v>
      </c>
      <c r="K8" s="79"/>
      <c r="L8" s="79"/>
      <c r="M8" s="107"/>
      <c r="N8" s="108"/>
      <c r="O8" s="108"/>
      <c r="P8" s="108"/>
      <c r="Q8" s="108"/>
      <c r="R8" s="108"/>
    </row>
    <row r="9" spans="1:18" s="109" customFormat="1" ht="31.5" x14ac:dyDescent="0.35">
      <c r="A9" s="102" t="s">
        <v>170</v>
      </c>
      <c r="B9" s="103" t="s">
        <v>86</v>
      </c>
      <c r="C9" s="104" t="s">
        <v>174</v>
      </c>
      <c r="D9" s="102" t="s">
        <v>188</v>
      </c>
      <c r="E9" s="104" t="s">
        <v>192</v>
      </c>
      <c r="F9" s="105">
        <v>20000</v>
      </c>
      <c r="G9" s="105">
        <v>20000</v>
      </c>
      <c r="H9" s="105">
        <v>12000</v>
      </c>
      <c r="I9" s="106">
        <f t="shared" si="0"/>
        <v>60</v>
      </c>
      <c r="J9" s="104" t="s">
        <v>206</v>
      </c>
      <c r="K9" s="110"/>
      <c r="L9" s="110"/>
      <c r="M9" s="107"/>
      <c r="N9" s="108"/>
      <c r="O9" s="108"/>
      <c r="P9" s="108"/>
      <c r="Q9" s="108"/>
      <c r="R9" s="108"/>
    </row>
    <row r="10" spans="1:18" s="109" customFormat="1" x14ac:dyDescent="0.25">
      <c r="A10" s="102" t="s">
        <v>171</v>
      </c>
      <c r="B10" s="103" t="s">
        <v>86</v>
      </c>
      <c r="C10" s="104" t="s">
        <v>175</v>
      </c>
      <c r="D10" s="102" t="s">
        <v>19</v>
      </c>
      <c r="E10" s="104" t="s">
        <v>193</v>
      </c>
      <c r="F10" s="105">
        <v>15000</v>
      </c>
      <c r="G10" s="105">
        <v>15000</v>
      </c>
      <c r="H10" s="105">
        <v>0</v>
      </c>
      <c r="I10" s="106">
        <f t="shared" si="0"/>
        <v>0</v>
      </c>
      <c r="J10" s="104" t="s">
        <v>206</v>
      </c>
      <c r="K10" s="111"/>
      <c r="L10" s="111"/>
      <c r="M10" s="107"/>
      <c r="N10" s="108"/>
      <c r="O10" s="108"/>
      <c r="P10" s="108"/>
      <c r="Q10" s="108"/>
      <c r="R10" s="108"/>
    </row>
    <row r="11" spans="1:18" s="109" customFormat="1" ht="47.25" x14ac:dyDescent="0.25">
      <c r="A11" s="102" t="s">
        <v>171</v>
      </c>
      <c r="B11" s="103" t="s">
        <v>87</v>
      </c>
      <c r="C11" s="104" t="s">
        <v>176</v>
      </c>
      <c r="D11" s="102" t="s">
        <v>14</v>
      </c>
      <c r="E11" s="104" t="s">
        <v>194</v>
      </c>
      <c r="F11" s="105">
        <v>60000</v>
      </c>
      <c r="G11" s="105">
        <v>60000</v>
      </c>
      <c r="H11" s="105">
        <v>19350</v>
      </c>
      <c r="I11" s="106">
        <f t="shared" si="0"/>
        <v>32.25</v>
      </c>
      <c r="J11" s="104" t="s">
        <v>208</v>
      </c>
      <c r="K11" s="107"/>
      <c r="L11" s="107"/>
      <c r="M11" s="107"/>
      <c r="N11" s="108"/>
      <c r="O11" s="108"/>
      <c r="P11" s="108"/>
      <c r="Q11" s="108"/>
      <c r="R11" s="108"/>
    </row>
    <row r="12" spans="1:18" s="109" customFormat="1" ht="31.5" x14ac:dyDescent="0.25">
      <c r="A12" s="102" t="s">
        <v>171</v>
      </c>
      <c r="B12" s="103" t="s">
        <v>87</v>
      </c>
      <c r="C12" s="104" t="s">
        <v>135</v>
      </c>
      <c r="D12" s="102" t="s">
        <v>12</v>
      </c>
      <c r="E12" s="104" t="s">
        <v>195</v>
      </c>
      <c r="F12" s="105">
        <v>200805.64</v>
      </c>
      <c r="G12" s="105">
        <v>200805.64</v>
      </c>
      <c r="H12" s="105">
        <v>169822.85</v>
      </c>
      <c r="I12" s="106">
        <f t="shared" si="0"/>
        <v>84.57075707634506</v>
      </c>
      <c r="J12" s="104" t="s">
        <v>206</v>
      </c>
      <c r="K12" s="108"/>
      <c r="L12" s="108"/>
      <c r="M12" s="108"/>
      <c r="N12" s="108"/>
      <c r="O12" s="108"/>
      <c r="P12" s="108"/>
      <c r="Q12" s="108"/>
      <c r="R12" s="108"/>
    </row>
    <row r="13" spans="1:18" s="109" customFormat="1" ht="31.5" x14ac:dyDescent="0.25">
      <c r="A13" s="102" t="s">
        <v>171</v>
      </c>
      <c r="B13" s="103" t="s">
        <v>87</v>
      </c>
      <c r="C13" s="104" t="s">
        <v>177</v>
      </c>
      <c r="D13" s="102" t="s">
        <v>17</v>
      </c>
      <c r="E13" s="104" t="s">
        <v>196</v>
      </c>
      <c r="F13" s="105">
        <v>503635.53999999992</v>
      </c>
      <c r="G13" s="105">
        <v>503635.5</v>
      </c>
      <c r="H13" s="105">
        <v>473712.24</v>
      </c>
      <c r="I13" s="106">
        <f t="shared" si="0"/>
        <v>94.058548295344551</v>
      </c>
      <c r="J13" s="104" t="s">
        <v>206</v>
      </c>
      <c r="K13" s="108"/>
      <c r="L13" s="108"/>
      <c r="M13" s="108"/>
      <c r="N13" s="108"/>
      <c r="O13" s="108"/>
      <c r="P13" s="108"/>
      <c r="Q13" s="108"/>
      <c r="R13" s="108"/>
    </row>
    <row r="14" spans="1:18" s="109" customFormat="1" ht="31.5" x14ac:dyDescent="0.25">
      <c r="A14" s="102" t="s">
        <v>171</v>
      </c>
      <c r="B14" s="103" t="s">
        <v>87</v>
      </c>
      <c r="C14" s="104" t="s">
        <v>178</v>
      </c>
      <c r="D14" s="102" t="s">
        <v>189</v>
      </c>
      <c r="E14" s="104" t="s">
        <v>197</v>
      </c>
      <c r="F14" s="105">
        <v>320000</v>
      </c>
      <c r="G14" s="105">
        <v>320000</v>
      </c>
      <c r="H14" s="105">
        <v>247497.78</v>
      </c>
      <c r="I14" s="106">
        <f t="shared" si="0"/>
        <v>77.343056250000004</v>
      </c>
      <c r="J14" s="104" t="s">
        <v>206</v>
      </c>
      <c r="K14" s="108"/>
      <c r="L14" s="108"/>
      <c r="M14" s="108"/>
      <c r="N14" s="108"/>
      <c r="O14" s="108"/>
      <c r="P14" s="108"/>
      <c r="Q14" s="108"/>
      <c r="R14" s="108"/>
    </row>
    <row r="15" spans="1:18" s="109" customFormat="1" ht="47.25" x14ac:dyDescent="0.25">
      <c r="A15" s="102" t="s">
        <v>171</v>
      </c>
      <c r="B15" s="103" t="s">
        <v>87</v>
      </c>
      <c r="C15" s="104" t="s">
        <v>179</v>
      </c>
      <c r="D15" s="102" t="s">
        <v>18</v>
      </c>
      <c r="E15" s="104" t="s">
        <v>198</v>
      </c>
      <c r="F15" s="105">
        <v>35000</v>
      </c>
      <c r="G15" s="105">
        <v>35000</v>
      </c>
      <c r="H15" s="105">
        <v>12681.74</v>
      </c>
      <c r="I15" s="106">
        <f t="shared" si="0"/>
        <v>36.233542857142858</v>
      </c>
      <c r="J15" s="104" t="s">
        <v>206</v>
      </c>
      <c r="K15" s="108"/>
      <c r="L15" s="108"/>
      <c r="M15" s="108"/>
      <c r="N15" s="108"/>
      <c r="O15" s="108"/>
      <c r="P15" s="108"/>
      <c r="Q15" s="108"/>
      <c r="R15" s="108"/>
    </row>
    <row r="16" spans="1:18" s="109" customFormat="1" ht="31.5" x14ac:dyDescent="0.25">
      <c r="A16" s="102" t="s">
        <v>171</v>
      </c>
      <c r="B16" s="103" t="s">
        <v>87</v>
      </c>
      <c r="C16" s="104" t="s">
        <v>180</v>
      </c>
      <c r="D16" s="102" t="s">
        <v>11</v>
      </c>
      <c r="E16" s="104" t="s">
        <v>199</v>
      </c>
      <c r="F16" s="105">
        <v>83898.19</v>
      </c>
      <c r="G16" s="105">
        <v>85601.16</v>
      </c>
      <c r="H16" s="105">
        <v>85601.16</v>
      </c>
      <c r="I16" s="106">
        <f t="shared" si="0"/>
        <v>100</v>
      </c>
      <c r="J16" s="104" t="s">
        <v>206</v>
      </c>
      <c r="K16" s="108"/>
      <c r="L16" s="108"/>
      <c r="M16" s="108"/>
      <c r="N16" s="108"/>
      <c r="O16" s="108"/>
      <c r="P16" s="108"/>
      <c r="Q16" s="108"/>
      <c r="R16" s="108"/>
    </row>
    <row r="17" spans="1:18" s="109" customFormat="1" ht="31.5" x14ac:dyDescent="0.25">
      <c r="A17" s="102" t="s">
        <v>171</v>
      </c>
      <c r="B17" s="103" t="s">
        <v>87</v>
      </c>
      <c r="C17" s="104" t="s">
        <v>181</v>
      </c>
      <c r="D17" s="102" t="s">
        <v>48</v>
      </c>
      <c r="E17" s="104" t="s">
        <v>199</v>
      </c>
      <c r="F17" s="105">
        <v>12067.23</v>
      </c>
      <c r="G17" s="105">
        <v>10364.280000000001</v>
      </c>
      <c r="H17" s="105">
        <v>10364.280000000001</v>
      </c>
      <c r="I17" s="106">
        <f t="shared" si="0"/>
        <v>100</v>
      </c>
      <c r="J17" s="104" t="s">
        <v>206</v>
      </c>
      <c r="K17" s="108"/>
      <c r="L17" s="108"/>
      <c r="M17" s="108"/>
      <c r="N17" s="108"/>
      <c r="O17" s="108"/>
      <c r="P17" s="108"/>
      <c r="Q17" s="108"/>
      <c r="R17" s="108"/>
    </row>
    <row r="18" spans="1:18" s="109" customFormat="1" ht="31.5" x14ac:dyDescent="0.25">
      <c r="A18" s="102" t="s">
        <v>171</v>
      </c>
      <c r="B18" s="103" t="s">
        <v>87</v>
      </c>
      <c r="C18" s="104" t="s">
        <v>182</v>
      </c>
      <c r="D18" s="102" t="s">
        <v>17</v>
      </c>
      <c r="E18" s="104" t="s">
        <v>200</v>
      </c>
      <c r="F18" s="105">
        <v>27060.659999999996</v>
      </c>
      <c r="G18" s="105">
        <v>27060.68</v>
      </c>
      <c r="H18" s="105">
        <v>27060.68</v>
      </c>
      <c r="I18" s="106">
        <f t="shared" si="0"/>
        <v>100</v>
      </c>
      <c r="J18" s="104" t="s">
        <v>206</v>
      </c>
      <c r="K18" s="108"/>
      <c r="L18" s="108"/>
      <c r="M18" s="108"/>
      <c r="N18" s="108"/>
      <c r="O18" s="108"/>
      <c r="P18" s="108"/>
      <c r="Q18" s="108"/>
      <c r="R18" s="108"/>
    </row>
    <row r="19" spans="1:18" s="109" customFormat="1" x14ac:dyDescent="0.25">
      <c r="A19" s="102" t="s">
        <v>171</v>
      </c>
      <c r="B19" s="103" t="s">
        <v>87</v>
      </c>
      <c r="C19" s="104" t="s">
        <v>183</v>
      </c>
      <c r="D19" s="102" t="s">
        <v>17</v>
      </c>
      <c r="E19" s="104" t="s">
        <v>201</v>
      </c>
      <c r="F19" s="105">
        <v>21364.46</v>
      </c>
      <c r="G19" s="105">
        <v>21364.46</v>
      </c>
      <c r="H19" s="105">
        <v>0</v>
      </c>
      <c r="I19" s="106">
        <f t="shared" si="0"/>
        <v>0</v>
      </c>
      <c r="J19" s="104" t="s">
        <v>207</v>
      </c>
      <c r="K19" s="108"/>
      <c r="L19" s="108"/>
      <c r="M19" s="108"/>
      <c r="N19" s="108"/>
      <c r="O19" s="108"/>
      <c r="P19" s="108"/>
      <c r="Q19" s="108"/>
      <c r="R19" s="108"/>
    </row>
    <row r="20" spans="1:18" s="109" customFormat="1" ht="31.5" x14ac:dyDescent="0.25">
      <c r="A20" s="102" t="s">
        <v>171</v>
      </c>
      <c r="B20" s="103" t="s">
        <v>86</v>
      </c>
      <c r="C20" s="104" t="s">
        <v>184</v>
      </c>
      <c r="D20" s="102" t="s">
        <v>16</v>
      </c>
      <c r="E20" s="104" t="s">
        <v>202</v>
      </c>
      <c r="F20" s="105">
        <v>80000</v>
      </c>
      <c r="G20" s="105">
        <v>80000</v>
      </c>
      <c r="H20" s="105">
        <v>35660.800000000003</v>
      </c>
      <c r="I20" s="106">
        <f t="shared" si="0"/>
        <v>44.576000000000008</v>
      </c>
      <c r="J20" s="104" t="s">
        <v>208</v>
      </c>
      <c r="K20" s="108"/>
      <c r="L20" s="108"/>
      <c r="M20" s="108"/>
      <c r="N20" s="108"/>
      <c r="O20" s="108"/>
      <c r="P20" s="108"/>
      <c r="Q20" s="108"/>
      <c r="R20" s="108"/>
    </row>
    <row r="21" spans="1:18" s="109" customFormat="1" ht="47.25" x14ac:dyDescent="0.25">
      <c r="A21" s="102" t="s">
        <v>171</v>
      </c>
      <c r="B21" s="103" t="s">
        <v>86</v>
      </c>
      <c r="C21" s="104" t="s">
        <v>185</v>
      </c>
      <c r="D21" s="102" t="s">
        <v>21</v>
      </c>
      <c r="E21" s="104" t="s">
        <v>203</v>
      </c>
      <c r="F21" s="105">
        <v>300000</v>
      </c>
      <c r="G21" s="105">
        <v>300000</v>
      </c>
      <c r="H21" s="105">
        <v>14930</v>
      </c>
      <c r="I21" s="106">
        <f t="shared" si="0"/>
        <v>4.9766666666666666</v>
      </c>
      <c r="J21" s="104" t="s">
        <v>208</v>
      </c>
      <c r="K21" s="108"/>
      <c r="L21" s="108"/>
      <c r="M21" s="108"/>
      <c r="N21" s="108"/>
      <c r="O21" s="108"/>
      <c r="P21" s="108"/>
      <c r="Q21" s="108"/>
      <c r="R21" s="108"/>
    </row>
    <row r="22" spans="1:18" s="109" customFormat="1" ht="31.5" x14ac:dyDescent="0.25">
      <c r="A22" s="102" t="s">
        <v>171</v>
      </c>
      <c r="B22" s="103" t="s">
        <v>86</v>
      </c>
      <c r="C22" s="104" t="s">
        <v>186</v>
      </c>
      <c r="D22" s="102" t="s">
        <v>16</v>
      </c>
      <c r="E22" s="104" t="s">
        <v>204</v>
      </c>
      <c r="F22" s="105">
        <v>20000</v>
      </c>
      <c r="G22" s="105">
        <v>20000</v>
      </c>
      <c r="H22" s="105">
        <v>0</v>
      </c>
      <c r="I22" s="106">
        <f t="shared" si="0"/>
        <v>0</v>
      </c>
      <c r="J22" s="104" t="s">
        <v>208</v>
      </c>
      <c r="K22" s="108"/>
      <c r="L22" s="108"/>
      <c r="M22" s="108"/>
      <c r="N22" s="108"/>
      <c r="O22" s="108"/>
      <c r="P22" s="108"/>
      <c r="Q22" s="108"/>
      <c r="R22" s="108"/>
    </row>
    <row r="23" spans="1:18" s="109" customFormat="1" ht="31.5" x14ac:dyDescent="0.25">
      <c r="A23" s="112" t="s">
        <v>171</v>
      </c>
      <c r="B23" s="113" t="s">
        <v>86</v>
      </c>
      <c r="C23" s="104" t="s">
        <v>187</v>
      </c>
      <c r="D23" s="112" t="s">
        <v>13</v>
      </c>
      <c r="E23" s="104" t="s">
        <v>205</v>
      </c>
      <c r="F23" s="105">
        <v>12000</v>
      </c>
      <c r="G23" s="105">
        <v>12000</v>
      </c>
      <c r="H23" s="105">
        <v>8902.14</v>
      </c>
      <c r="I23" s="106">
        <f t="shared" si="0"/>
        <v>74.1845</v>
      </c>
      <c r="J23" s="104" t="s">
        <v>206</v>
      </c>
      <c r="K23" s="108"/>
      <c r="L23" s="108"/>
      <c r="M23" s="108"/>
      <c r="N23" s="108"/>
      <c r="O23" s="108"/>
      <c r="P23" s="108"/>
      <c r="Q23" s="108"/>
      <c r="R23" s="108"/>
    </row>
    <row r="24" spans="1:18" s="69" customFormat="1" ht="27" thickBot="1" x14ac:dyDescent="0.3">
      <c r="A24" s="82" t="s">
        <v>3</v>
      </c>
      <c r="B24" s="83"/>
      <c r="C24" s="83"/>
      <c r="D24" s="83"/>
      <c r="E24" s="84"/>
      <c r="F24" s="65">
        <f>SUM(F7:F23)</f>
        <v>1755831.7199999997</v>
      </c>
      <c r="G24" s="65">
        <f>SUM(G7:G23)</f>
        <v>1755831.72</v>
      </c>
      <c r="H24" s="65">
        <f>SUM(H7:H23)</f>
        <v>1146583.67</v>
      </c>
      <c r="I24" s="76">
        <f t="shared" si="0"/>
        <v>65.301455540397683</v>
      </c>
      <c r="K24" s="68"/>
      <c r="L24" s="68"/>
      <c r="M24" s="68"/>
      <c r="N24" s="68"/>
      <c r="O24" s="68"/>
      <c r="P24" s="68"/>
      <c r="Q24" s="68"/>
      <c r="R24" s="68"/>
    </row>
    <row r="25" spans="1:18" s="69" customFormat="1" x14ac:dyDescent="0.25">
      <c r="A25" s="115" t="s">
        <v>85</v>
      </c>
      <c r="B25" s="115"/>
      <c r="C25" s="115"/>
      <c r="D25" s="115"/>
      <c r="E25" s="115"/>
      <c r="F25" s="71"/>
      <c r="G25" s="72"/>
      <c r="H25" s="71"/>
      <c r="I25" s="71"/>
      <c r="J25" s="68"/>
      <c r="K25" s="68"/>
      <c r="L25" s="68"/>
      <c r="M25" s="68"/>
      <c r="N25" s="68"/>
      <c r="O25" s="68"/>
      <c r="P25" s="68"/>
      <c r="Q25" s="68"/>
      <c r="R25" s="68"/>
    </row>
    <row r="26" spans="1:18" s="69" customFormat="1" ht="26.25" customHeight="1" x14ac:dyDescent="0.25">
      <c r="A26" s="116" t="s">
        <v>81</v>
      </c>
      <c r="B26" s="117"/>
      <c r="C26" s="117"/>
      <c r="D26" s="117"/>
      <c r="E26" s="117"/>
      <c r="F26" s="117"/>
      <c r="G26" s="117"/>
      <c r="H26" s="117"/>
      <c r="I26" s="117"/>
      <c r="J26" s="117"/>
      <c r="K26" s="68"/>
      <c r="L26" s="68"/>
      <c r="M26" s="68"/>
      <c r="N26" s="68"/>
      <c r="O26" s="68"/>
      <c r="P26" s="68"/>
      <c r="Q26" s="68"/>
      <c r="R26" s="68"/>
    </row>
    <row r="27" spans="1:18" s="69" customFormat="1" ht="145.5" customHeight="1" x14ac:dyDescent="0.25">
      <c r="A27" s="118" t="s">
        <v>214</v>
      </c>
      <c r="B27" s="119"/>
      <c r="C27" s="119"/>
      <c r="D27" s="119"/>
      <c r="E27" s="119"/>
      <c r="F27" s="119"/>
      <c r="G27" s="119"/>
      <c r="H27" s="119"/>
      <c r="I27" s="119"/>
      <c r="J27" s="119"/>
      <c r="K27" s="68"/>
      <c r="L27" s="68"/>
      <c r="M27" s="68"/>
      <c r="N27" s="68"/>
      <c r="O27" s="68"/>
      <c r="P27" s="68"/>
      <c r="Q27" s="68"/>
      <c r="R27" s="68"/>
    </row>
  </sheetData>
  <sheetProtection formatCells="0" formatRows="0" insertRows="0" deleteRows="0"/>
  <mergeCells count="19">
    <mergeCell ref="F5:F6"/>
    <mergeCell ref="H5:H6"/>
    <mergeCell ref="A25:E25"/>
    <mergeCell ref="A24:E24"/>
    <mergeCell ref="G5:G6"/>
    <mergeCell ref="E5:E6"/>
    <mergeCell ref="A5:A6"/>
    <mergeCell ref="B5:B6"/>
    <mergeCell ref="C5:C6"/>
    <mergeCell ref="D5:D6"/>
    <mergeCell ref="A26:J26"/>
    <mergeCell ref="A27:J27"/>
    <mergeCell ref="I5:I6"/>
    <mergeCell ref="A4:J4"/>
    <mergeCell ref="A1:J1"/>
    <mergeCell ref="A2:J2"/>
    <mergeCell ref="K6:L8"/>
    <mergeCell ref="K10:L10"/>
    <mergeCell ref="J5:J6"/>
  </mergeCells>
  <phoneticPr fontId="13" type="noConversion"/>
  <conditionalFormatting sqref="F25:I25">
    <cfRule type="cellIs" dxfId="2" priority="7" operator="equal">
      <formula>TRUE</formula>
    </cfRule>
  </conditionalFormatting>
  <conditionalFormatting sqref="I7:I23">
    <cfRule type="cellIs" dxfId="1" priority="5" operator="greaterThan">
      <formula>100.01</formula>
    </cfRule>
  </conditionalFormatting>
  <conditionalFormatting sqref="I7:I23">
    <cfRule type="cellIs" dxfId="0" priority="4" operator="lessThan">
      <formula>100.01</formula>
    </cfRule>
  </conditionalFormatting>
  <dataValidations count="1">
    <dataValidation type="list" allowBlank="1" showInputMessage="1" showErrorMessage="1" sqref="J7:J23" xr:uid="{00000000-0002-0000-0200-000000000000}">
      <mc:AlternateContent xmlns:x12ac="http://schemas.microsoft.com/office/spreadsheetml/2011/1/ac" xmlns:mc="http://schemas.openxmlformats.org/markup-compatibility/2006">
        <mc:Choice Requires="x12ac">
          <x12ac:list>"""Concluído""","""Parcialmente Concluído""","""Não Realizado"""</x12ac:list>
        </mc:Choice>
        <mc:Fallback>
          <formula1>"""Concluído"",""Parcialmente Concluído"",""Não Realizado"""</formula1>
        </mc:Fallback>
      </mc:AlternateContent>
    </dataValidation>
  </dataValidations>
  <pageMargins left="0.23622047244094491" right="0.23622047244094491" top="0.27" bottom="0.17" header="0.31496062992125984" footer="0.31496062992125984"/>
  <pageSetup paperSize="9" scale="46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1000000}">
          <x14:formula1>
            <xm:f>'Validação de dados'!$D$1:$D$16</xm:f>
          </x14:formula1>
          <xm:sqref>D7:D23</xm:sqref>
        </x14:dataValidation>
        <x14:dataValidation type="list" allowBlank="1" showInputMessage="1" showErrorMessage="1" xr:uid="{00000000-0002-0000-0200-000002000000}">
          <x14:formula1>
            <xm:f>'Validação de dados'!$E$1:$E$6</xm:f>
          </x14:formula1>
          <xm:sqref>B7:B23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AW34"/>
  <sheetViews>
    <sheetView topLeftCell="E1" zoomScale="150" zoomScaleNormal="150" workbookViewId="0">
      <selection activeCell="J9" sqref="J9"/>
    </sheetView>
  </sheetViews>
  <sheetFormatPr defaultRowHeight="15.75" x14ac:dyDescent="0.25"/>
  <cols>
    <col min="1" max="1" width="48.7109375" style="5" bestFit="1" customWidth="1"/>
    <col min="2" max="2" width="42.5703125" style="5" bestFit="1" customWidth="1"/>
    <col min="3" max="3" width="46.28515625" style="5" bestFit="1" customWidth="1"/>
    <col min="4" max="4" width="127.85546875" style="5" customWidth="1"/>
    <col min="5" max="8" width="9.140625" style="5"/>
    <col min="9" max="9" width="13.5703125" style="5" bestFit="1" customWidth="1"/>
    <col min="10" max="49" width="9.140625" style="5"/>
  </cols>
  <sheetData>
    <row r="1" spans="1:7" x14ac:dyDescent="0.25">
      <c r="A1" s="5" t="s">
        <v>32</v>
      </c>
      <c r="B1" s="6" t="s">
        <v>26</v>
      </c>
      <c r="C1" s="6" t="s">
        <v>76</v>
      </c>
      <c r="D1" s="5" t="s">
        <v>18</v>
      </c>
      <c r="E1" s="5" t="s">
        <v>86</v>
      </c>
      <c r="G1" s="5" t="s">
        <v>129</v>
      </c>
    </row>
    <row r="2" spans="1:7" x14ac:dyDescent="0.25">
      <c r="A2" s="5" t="s">
        <v>40</v>
      </c>
      <c r="B2" s="6" t="s">
        <v>25</v>
      </c>
      <c r="C2" s="6" t="s">
        <v>77</v>
      </c>
      <c r="D2" s="5" t="s">
        <v>48</v>
      </c>
      <c r="E2" s="5" t="s">
        <v>87</v>
      </c>
      <c r="G2" s="5" t="s">
        <v>127</v>
      </c>
    </row>
    <row r="3" spans="1:7" x14ac:dyDescent="0.25">
      <c r="A3" s="5" t="s">
        <v>41</v>
      </c>
      <c r="B3" s="4" t="s">
        <v>23</v>
      </c>
      <c r="C3" s="6" t="s">
        <v>49</v>
      </c>
      <c r="D3" s="5" t="s">
        <v>14</v>
      </c>
      <c r="E3" s="5" t="s">
        <v>88</v>
      </c>
      <c r="G3" s="5" t="s">
        <v>125</v>
      </c>
    </row>
    <row r="4" spans="1:7" x14ac:dyDescent="0.25">
      <c r="A4" s="5" t="s">
        <v>42</v>
      </c>
      <c r="B4" s="7" t="s">
        <v>70</v>
      </c>
      <c r="C4" s="6" t="s">
        <v>50</v>
      </c>
      <c r="D4" s="5" t="s">
        <v>17</v>
      </c>
      <c r="E4" s="5" t="s">
        <v>89</v>
      </c>
      <c r="G4" s="5" t="s">
        <v>123</v>
      </c>
    </row>
    <row r="5" spans="1:7" x14ac:dyDescent="0.25">
      <c r="A5" s="5" t="s">
        <v>33</v>
      </c>
      <c r="B5" s="7" t="s">
        <v>71</v>
      </c>
      <c r="C5" s="6" t="s">
        <v>51</v>
      </c>
      <c r="D5" s="5" t="s">
        <v>20</v>
      </c>
      <c r="E5" s="5" t="s">
        <v>90</v>
      </c>
      <c r="G5" s="5" t="s">
        <v>121</v>
      </c>
    </row>
    <row r="6" spans="1:7" x14ac:dyDescent="0.25">
      <c r="A6" s="5" t="s">
        <v>43</v>
      </c>
      <c r="B6" s="7" t="s">
        <v>72</v>
      </c>
      <c r="C6" s="6" t="s">
        <v>52</v>
      </c>
      <c r="D6" s="5" t="s">
        <v>19</v>
      </c>
      <c r="E6" s="5" t="s">
        <v>91</v>
      </c>
      <c r="G6" s="5" t="s">
        <v>119</v>
      </c>
    </row>
    <row r="7" spans="1:7" x14ac:dyDescent="0.25">
      <c r="A7" s="5" t="s">
        <v>84</v>
      </c>
      <c r="B7" s="7" t="s">
        <v>73</v>
      </c>
      <c r="C7" s="6" t="s">
        <v>53</v>
      </c>
      <c r="D7" s="5" t="s">
        <v>54</v>
      </c>
      <c r="G7" s="5" t="s">
        <v>117</v>
      </c>
    </row>
    <row r="8" spans="1:7" x14ac:dyDescent="0.25">
      <c r="A8" s="5" t="s">
        <v>34</v>
      </c>
      <c r="B8" s="7" t="s">
        <v>74</v>
      </c>
      <c r="C8" s="6" t="s">
        <v>55</v>
      </c>
      <c r="D8" s="5" t="s">
        <v>13</v>
      </c>
      <c r="G8" s="5" t="s">
        <v>116</v>
      </c>
    </row>
    <row r="9" spans="1:7" x14ac:dyDescent="0.25">
      <c r="A9" s="5" t="s">
        <v>44</v>
      </c>
      <c r="B9" s="7" t="s">
        <v>80</v>
      </c>
      <c r="C9" s="6" t="s">
        <v>56</v>
      </c>
      <c r="D9" s="5" t="s">
        <v>16</v>
      </c>
      <c r="G9" s="5" t="s">
        <v>114</v>
      </c>
    </row>
    <row r="10" spans="1:7" x14ac:dyDescent="0.25">
      <c r="A10" s="5" t="s">
        <v>35</v>
      </c>
      <c r="B10" s="6" t="s">
        <v>24</v>
      </c>
      <c r="C10" s="6" t="s">
        <v>57</v>
      </c>
      <c r="D10" s="5" t="s">
        <v>79</v>
      </c>
      <c r="G10" s="5" t="s">
        <v>113</v>
      </c>
    </row>
    <row r="11" spans="1:7" x14ac:dyDescent="0.25">
      <c r="A11" s="5" t="s">
        <v>36</v>
      </c>
      <c r="B11" s="6" t="s">
        <v>0</v>
      </c>
      <c r="C11" s="6" t="s">
        <v>58</v>
      </c>
      <c r="D11" s="5" t="s">
        <v>10</v>
      </c>
      <c r="G11" s="5" t="s">
        <v>110</v>
      </c>
    </row>
    <row r="12" spans="1:7" x14ac:dyDescent="0.25">
      <c r="A12" s="5" t="s">
        <v>45</v>
      </c>
      <c r="C12" s="6" t="s">
        <v>59</v>
      </c>
      <c r="D12" s="5" t="s">
        <v>60</v>
      </c>
      <c r="G12" s="5" t="s">
        <v>108</v>
      </c>
    </row>
    <row r="13" spans="1:7" x14ac:dyDescent="0.25">
      <c r="A13" s="5" t="s">
        <v>46</v>
      </c>
      <c r="B13" s="4"/>
      <c r="C13" s="6" t="s">
        <v>61</v>
      </c>
      <c r="D13" s="5" t="s">
        <v>15</v>
      </c>
      <c r="G13" s="5" t="s">
        <v>106</v>
      </c>
    </row>
    <row r="14" spans="1:7" x14ac:dyDescent="0.25">
      <c r="A14" s="5" t="s">
        <v>37</v>
      </c>
      <c r="B14" s="4"/>
      <c r="C14" s="6" t="s">
        <v>62</v>
      </c>
      <c r="D14" s="5" t="s">
        <v>21</v>
      </c>
      <c r="G14" s="5" t="s">
        <v>104</v>
      </c>
    </row>
    <row r="15" spans="1:7" x14ac:dyDescent="0.25">
      <c r="A15" s="5" t="s">
        <v>47</v>
      </c>
      <c r="B15" s="4"/>
      <c r="C15" s="6" t="s">
        <v>63</v>
      </c>
      <c r="D15" s="5" t="s">
        <v>11</v>
      </c>
      <c r="G15" s="5" t="s">
        <v>103</v>
      </c>
    </row>
    <row r="16" spans="1:7" x14ac:dyDescent="0.25">
      <c r="A16" s="5" t="s">
        <v>38</v>
      </c>
      <c r="B16" s="4"/>
      <c r="C16" s="6" t="s">
        <v>64</v>
      </c>
      <c r="D16" s="5" t="s">
        <v>78</v>
      </c>
      <c r="G16" s="5" t="s">
        <v>88</v>
      </c>
    </row>
    <row r="17" spans="1:7" x14ac:dyDescent="0.25">
      <c r="A17" s="5" t="s">
        <v>39</v>
      </c>
      <c r="B17" s="4"/>
      <c r="C17" s="6" t="s">
        <v>65</v>
      </c>
      <c r="G17" s="5" t="s">
        <v>102</v>
      </c>
    </row>
    <row r="18" spans="1:7" x14ac:dyDescent="0.25">
      <c r="B18" s="4"/>
      <c r="C18" s="6" t="s">
        <v>66</v>
      </c>
      <c r="G18" s="5" t="s">
        <v>101</v>
      </c>
    </row>
    <row r="19" spans="1:7" x14ac:dyDescent="0.25">
      <c r="C19" s="6" t="s">
        <v>67</v>
      </c>
      <c r="G19" s="5" t="s">
        <v>100</v>
      </c>
    </row>
    <row r="20" spans="1:7" x14ac:dyDescent="0.25">
      <c r="C20" s="6" t="s">
        <v>68</v>
      </c>
      <c r="G20" s="5" t="s">
        <v>99</v>
      </c>
    </row>
    <row r="21" spans="1:7" x14ac:dyDescent="0.25">
      <c r="C21" s="6" t="s">
        <v>69</v>
      </c>
      <c r="G21" s="5" t="s">
        <v>98</v>
      </c>
    </row>
    <row r="22" spans="1:7" x14ac:dyDescent="0.25">
      <c r="G22" s="5" t="s">
        <v>97</v>
      </c>
    </row>
    <row r="23" spans="1:7" x14ac:dyDescent="0.25">
      <c r="G23" s="5" t="s">
        <v>96</v>
      </c>
    </row>
    <row r="24" spans="1:7" x14ac:dyDescent="0.25">
      <c r="G24" s="5" t="s">
        <v>95</v>
      </c>
    </row>
    <row r="25" spans="1:7" x14ac:dyDescent="0.25">
      <c r="G25" s="5" t="s">
        <v>94</v>
      </c>
    </row>
    <row r="26" spans="1:7" x14ac:dyDescent="0.25">
      <c r="G26" s="5" t="s">
        <v>93</v>
      </c>
    </row>
    <row r="27" spans="1:7" x14ac:dyDescent="0.25">
      <c r="G27" s="5" t="s">
        <v>92</v>
      </c>
    </row>
    <row r="28" spans="1:7" x14ac:dyDescent="0.25">
      <c r="G28" s="5" t="s">
        <v>166</v>
      </c>
    </row>
    <row r="34" spans="1:1" x14ac:dyDescent="0.25">
      <c r="A34" s="5" t="s">
        <v>165</v>
      </c>
    </row>
  </sheetData>
  <sortState xmlns:xlrd2="http://schemas.microsoft.com/office/spreadsheetml/2017/richdata2" ref="D1:D15">
    <sortCondition ref="D1"/>
  </sortState>
  <pageMargins left="0.511811024" right="0.511811024" top="0.78740157499999996" bottom="0.78740157499999996" header="0.31496062000000002" footer="0.31496062000000002"/>
  <pageSetup paperSize="2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AR36"/>
  <sheetViews>
    <sheetView showGridLines="0" topLeftCell="A2" zoomScale="120" zoomScaleNormal="120" workbookViewId="0">
      <pane xSplit="1" ySplit="2" topLeftCell="W4" activePane="bottomRight" state="frozen"/>
      <selection activeCell="H17" sqref="H17"/>
      <selection pane="topRight" activeCell="H17" sqref="H17"/>
      <selection pane="bottomLeft" activeCell="H17" sqref="H17"/>
      <selection pane="bottomRight" activeCell="J28" sqref="J28"/>
    </sheetView>
  </sheetViews>
  <sheetFormatPr defaultRowHeight="15.75" zeroHeight="1" outlineLevelCol="1" x14ac:dyDescent="0.25"/>
  <cols>
    <col min="1" max="1" width="13.28515625" style="15" hidden="1" customWidth="1" outlineLevel="1"/>
    <col min="2" max="2" width="15.42578125" style="14" hidden="1" customWidth="1" outlineLevel="1"/>
    <col min="3" max="9" width="15.5703125" style="14" hidden="1" customWidth="1" outlineLevel="1"/>
    <col min="10" max="10" width="16.140625" style="12" hidden="1" customWidth="1" outlineLevel="1"/>
    <col min="11" max="11" width="13.28515625" style="13" hidden="1" customWidth="1" outlineLevel="1"/>
    <col min="12" max="14" width="15.42578125" style="12" hidden="1" customWidth="1" outlineLevel="1"/>
    <col min="15" max="15" width="2.28515625" style="12" hidden="1" customWidth="1" outlineLevel="1"/>
    <col min="16" max="17" width="16.42578125" style="12" hidden="1" customWidth="1" outlineLevel="1"/>
    <col min="18" max="18" width="5.7109375" style="11" hidden="1" customWidth="1" outlineLevel="1"/>
    <col min="19" max="19" width="15.42578125" style="12" hidden="1" customWidth="1" outlineLevel="1"/>
    <col min="20" max="20" width="2.85546875" style="11" hidden="1" customWidth="1" outlineLevel="1"/>
    <col min="21" max="21" width="16.140625" style="12" hidden="1" customWidth="1" outlineLevel="1"/>
    <col min="22" max="22" width="2.85546875" style="11" hidden="1" customWidth="1" outlineLevel="1"/>
    <col min="23" max="23" width="16.42578125" style="9" hidden="1" customWidth="1" outlineLevel="1"/>
    <col min="24" max="24" width="19.85546875" style="9" hidden="1" customWidth="1" outlineLevel="1"/>
    <col min="25" max="25" width="16.42578125" style="10" hidden="1" customWidth="1" outlineLevel="1"/>
    <col min="26" max="26" width="16.42578125" style="9" hidden="1" customWidth="1" outlineLevel="1"/>
    <col min="27" max="27" width="16.42578125" style="10" hidden="1" customWidth="1" outlineLevel="1"/>
    <col min="28" max="28" width="16.42578125" style="9" hidden="1" customWidth="1" outlineLevel="1"/>
    <col min="29" max="29" width="2.85546875" style="1" hidden="1" customWidth="1" outlineLevel="1"/>
    <col min="30" max="30" width="11.28515625" style="1" hidden="1" customWidth="1" outlineLevel="1"/>
    <col min="31" max="31" width="3.28515625" style="1" hidden="1" customWidth="1" outlineLevel="1"/>
    <col min="32" max="32" width="18.85546875" style="1" hidden="1" customWidth="1" outlineLevel="1"/>
    <col min="33" max="33" width="4.7109375" style="1" hidden="1" customWidth="1" outlineLevel="1"/>
    <col min="34" max="34" width="18.85546875" style="9" hidden="1" customWidth="1" outlineLevel="1"/>
    <col min="35" max="35" width="9.85546875" style="1" hidden="1" customWidth="1" outlineLevel="1"/>
    <col min="36" max="36" width="39.140625" style="2" bestFit="1" customWidth="1" collapsed="1"/>
    <col min="37" max="37" width="15.7109375" style="2" bestFit="1" customWidth="1"/>
    <col min="38" max="38" width="1" style="1" customWidth="1"/>
    <col min="39" max="39" width="39" style="2" bestFit="1" customWidth="1"/>
    <col min="40" max="40" width="15.5703125" style="1" bestFit="1" customWidth="1"/>
    <col min="41" max="43" width="9.140625" style="1"/>
    <col min="44" max="44" width="12.42578125" style="1" bestFit="1" customWidth="1"/>
    <col min="45" max="16384" width="9.140625" style="1"/>
  </cols>
  <sheetData>
    <row r="1" spans="1:44" ht="16.5" hidden="1" customHeight="1" thickBot="1" x14ac:dyDescent="0.3">
      <c r="A1" s="87" t="s">
        <v>155</v>
      </c>
      <c r="B1" s="88">
        <v>0.8</v>
      </c>
      <c r="C1" s="88"/>
      <c r="D1" s="88"/>
      <c r="E1" s="88"/>
      <c r="F1" s="88"/>
      <c r="G1" s="88"/>
      <c r="H1" s="88"/>
      <c r="I1" s="88"/>
      <c r="J1" s="88"/>
      <c r="L1" s="94" t="s">
        <v>154</v>
      </c>
      <c r="M1" s="95"/>
      <c r="N1" s="96"/>
      <c r="P1" s="95" t="s">
        <v>153</v>
      </c>
      <c r="Q1" s="95"/>
      <c r="S1" s="95" t="s">
        <v>152</v>
      </c>
      <c r="U1" s="95" t="s">
        <v>151</v>
      </c>
      <c r="W1" s="88" t="s">
        <v>150</v>
      </c>
      <c r="X1" s="88"/>
      <c r="Y1" s="88"/>
      <c r="Z1" s="88"/>
      <c r="AA1" s="88"/>
      <c r="AB1" s="88"/>
    </row>
    <row r="2" spans="1:44" s="47" customFormat="1" ht="16.5" thickBot="1" x14ac:dyDescent="0.3">
      <c r="A2" s="87"/>
      <c r="B2" s="89" t="s">
        <v>148</v>
      </c>
      <c r="C2" s="89"/>
      <c r="D2" s="89"/>
      <c r="E2" s="89" t="s">
        <v>147</v>
      </c>
      <c r="F2" s="89"/>
      <c r="G2" s="89"/>
      <c r="H2" s="90" t="s">
        <v>146</v>
      </c>
      <c r="I2" s="90" t="s">
        <v>149</v>
      </c>
      <c r="J2" s="93" t="s">
        <v>156</v>
      </c>
      <c r="K2" s="53"/>
      <c r="L2" s="97"/>
      <c r="M2" s="98"/>
      <c r="N2" s="99"/>
      <c r="O2" s="52"/>
      <c r="P2" s="98"/>
      <c r="Q2" s="98"/>
      <c r="R2" s="51"/>
      <c r="S2" s="98"/>
      <c r="T2" s="51"/>
      <c r="U2" s="98"/>
      <c r="V2" s="51"/>
      <c r="W2" s="89" t="s">
        <v>148</v>
      </c>
      <c r="X2" s="89"/>
      <c r="Y2" s="89"/>
      <c r="Z2" s="89" t="s">
        <v>147</v>
      </c>
      <c r="AA2" s="89"/>
      <c r="AB2" s="50" t="s">
        <v>146</v>
      </c>
      <c r="AD2" s="100" t="s">
        <v>120</v>
      </c>
      <c r="AF2" s="100" t="s">
        <v>145</v>
      </c>
      <c r="AH2" s="92" t="s">
        <v>162</v>
      </c>
      <c r="AJ2" s="49" t="s">
        <v>144</v>
      </c>
      <c r="AK2" s="48" t="e">
        <f>#REF!</f>
        <v>#REF!</v>
      </c>
      <c r="AM2" s="85" t="s">
        <v>143</v>
      </c>
      <c r="AN2" s="86"/>
    </row>
    <row r="3" spans="1:44" s="36" customFormat="1" ht="20.25" customHeight="1" thickBot="1" x14ac:dyDescent="0.3">
      <c r="A3" s="87"/>
      <c r="B3" s="44" t="s">
        <v>142</v>
      </c>
      <c r="C3" s="44" t="s">
        <v>141</v>
      </c>
      <c r="D3" s="44" t="s">
        <v>140</v>
      </c>
      <c r="E3" s="44" t="s">
        <v>142</v>
      </c>
      <c r="F3" s="44" t="s">
        <v>141</v>
      </c>
      <c r="G3" s="44" t="s">
        <v>140</v>
      </c>
      <c r="H3" s="91"/>
      <c r="I3" s="91"/>
      <c r="J3" s="91"/>
      <c r="K3" s="46"/>
      <c r="L3" s="44" t="s">
        <v>139</v>
      </c>
      <c r="M3" s="44" t="s">
        <v>138</v>
      </c>
      <c r="N3" s="44" t="s">
        <v>137</v>
      </c>
      <c r="O3" s="45"/>
      <c r="P3" s="56" t="s">
        <v>136</v>
      </c>
      <c r="Q3" s="56" t="s">
        <v>135</v>
      </c>
      <c r="R3" s="42"/>
      <c r="S3" s="43" t="s">
        <v>134</v>
      </c>
      <c r="T3" s="42"/>
      <c r="U3" s="43" t="s">
        <v>133</v>
      </c>
      <c r="V3" s="42"/>
      <c r="W3" s="41" t="s">
        <v>157</v>
      </c>
      <c r="X3" s="41" t="s">
        <v>158</v>
      </c>
      <c r="Y3" s="39" t="s">
        <v>132</v>
      </c>
      <c r="Z3" s="40" t="s">
        <v>131</v>
      </c>
      <c r="AA3" s="39" t="s">
        <v>132</v>
      </c>
      <c r="AB3" s="38" t="s">
        <v>131</v>
      </c>
      <c r="AD3" s="101"/>
      <c r="AF3" s="101"/>
      <c r="AH3" s="92"/>
      <c r="AJ3" s="31" t="s">
        <v>4</v>
      </c>
      <c r="AK3" s="37" t="e">
        <f>AK4+AK14+AK15+AK16</f>
        <v>#REF!</v>
      </c>
      <c r="AM3" s="31" t="s">
        <v>130</v>
      </c>
      <c r="AN3" s="30" t="e">
        <f>VLOOKUP($AK$2,'Diretrizes - Resumo'!$A$4:$Q$30,16,)</f>
        <v>#REF!</v>
      </c>
    </row>
    <row r="4" spans="1:44" ht="16.5" thickBot="1" x14ac:dyDescent="0.3">
      <c r="A4" s="21" t="s">
        <v>129</v>
      </c>
      <c r="B4" s="14">
        <v>173779.93599999999</v>
      </c>
      <c r="C4" s="14">
        <v>28680.296000000002</v>
      </c>
      <c r="D4" s="14">
        <f t="shared" ref="D4" si="0">B4+C4</f>
        <v>202460.23199999999</v>
      </c>
      <c r="E4" s="14">
        <v>26559.703999999998</v>
      </c>
      <c r="F4" s="14">
        <v>7609.2720000000008</v>
      </c>
      <c r="G4" s="14">
        <f t="shared" ref="G4" si="1">E4+F4</f>
        <v>34168.975999999995</v>
      </c>
      <c r="H4" s="14">
        <v>235854.82</v>
      </c>
      <c r="I4" s="14">
        <v>24707.91</v>
      </c>
      <c r="J4" s="20">
        <f t="shared" ref="J4:J30" si="2">I4+H4+G4+D4</f>
        <v>497191.93799999997</v>
      </c>
      <c r="K4" s="54">
        <v>0</v>
      </c>
      <c r="L4" s="14">
        <v>9108.9120471532424</v>
      </c>
      <c r="M4" s="14">
        <v>17240</v>
      </c>
      <c r="N4" s="14">
        <v>754537.39605743252</v>
      </c>
      <c r="P4" s="14">
        <v>39070.160000000003</v>
      </c>
      <c r="Q4" s="14">
        <v>4657.0560574324481</v>
      </c>
      <c r="R4" s="55">
        <v>0</v>
      </c>
      <c r="S4" s="14"/>
      <c r="U4" s="14">
        <v>2525.3977976760007</v>
      </c>
      <c r="W4" s="18">
        <v>736</v>
      </c>
      <c r="X4" s="18">
        <v>725</v>
      </c>
      <c r="Y4" s="19">
        <v>36.137931034482762</v>
      </c>
      <c r="Z4" s="18">
        <v>146</v>
      </c>
      <c r="AA4" s="19">
        <v>52.054794520547951</v>
      </c>
      <c r="AB4" s="18">
        <v>2724</v>
      </c>
      <c r="AD4" s="11">
        <v>0</v>
      </c>
      <c r="AF4" s="11">
        <v>669680.75</v>
      </c>
      <c r="AG4" s="47"/>
      <c r="AH4" s="64">
        <v>906876</v>
      </c>
      <c r="AJ4" s="25" t="s">
        <v>31</v>
      </c>
      <c r="AK4" s="35" t="e">
        <f>AK5+AK12+AK13</f>
        <v>#REF!</v>
      </c>
      <c r="AM4" s="25" t="s">
        <v>128</v>
      </c>
      <c r="AN4" s="30" t="e">
        <f>VLOOKUP($AK$2,'Diretrizes - Resumo'!$A$4:$Q$30,17,)</f>
        <v>#REF!</v>
      </c>
      <c r="AR4" s="17"/>
    </row>
    <row r="5" spans="1:44" ht="16.5" thickBot="1" x14ac:dyDescent="0.3">
      <c r="A5" s="21" t="s">
        <v>127</v>
      </c>
      <c r="B5" s="14">
        <v>529644.17599999998</v>
      </c>
      <c r="C5" s="14">
        <v>119850.66399999999</v>
      </c>
      <c r="D5" s="14">
        <f t="shared" ref="D5:D30" si="3">B5+C5</f>
        <v>649494.84</v>
      </c>
      <c r="E5" s="14">
        <v>28274.615999999998</v>
      </c>
      <c r="F5" s="14">
        <v>19201.423999999999</v>
      </c>
      <c r="G5" s="14">
        <f t="shared" ref="G5:G30" si="4">E5+F5</f>
        <v>47476.039999999994</v>
      </c>
      <c r="H5" s="14">
        <v>623231.63</v>
      </c>
      <c r="I5" s="14">
        <v>85690.17</v>
      </c>
      <c r="J5" s="20">
        <f t="shared" si="2"/>
        <v>1405892.6800000002</v>
      </c>
      <c r="K5" s="54">
        <v>0</v>
      </c>
      <c r="L5" s="14">
        <v>25584.128262041868</v>
      </c>
      <c r="M5" s="14"/>
      <c r="N5" s="14"/>
      <c r="P5" s="14">
        <v>109736.05</v>
      </c>
      <c r="Q5" s="14">
        <v>12970.234884836624</v>
      </c>
      <c r="R5" s="55">
        <v>0</v>
      </c>
      <c r="S5" s="14"/>
      <c r="U5" s="14">
        <v>5973.4512300060005</v>
      </c>
      <c r="W5" s="18">
        <v>2183</v>
      </c>
      <c r="X5" s="18">
        <v>2095</v>
      </c>
      <c r="Y5" s="19">
        <v>32.410501193317415</v>
      </c>
      <c r="Z5" s="18">
        <v>174</v>
      </c>
      <c r="AA5" s="19">
        <v>56.896551724137936</v>
      </c>
      <c r="AB5" s="18">
        <v>7198</v>
      </c>
      <c r="AD5" s="11">
        <v>0</v>
      </c>
      <c r="AF5" s="11">
        <v>459563.48000000004</v>
      </c>
      <c r="AG5" s="11"/>
      <c r="AH5" s="64">
        <v>3365351</v>
      </c>
      <c r="AJ5" s="25" t="s">
        <v>5</v>
      </c>
      <c r="AK5" s="35" t="e">
        <f>AK6+AK9</f>
        <v>#REF!</v>
      </c>
      <c r="AM5" s="25" t="s">
        <v>126</v>
      </c>
      <c r="AN5" s="30" t="e">
        <f>VLOOKUP($AK$2,'Diretrizes - Resumo'!$A$4:$S$30,19,)</f>
        <v>#REF!</v>
      </c>
      <c r="AR5" s="17"/>
    </row>
    <row r="6" spans="1:44" ht="16.5" thickBot="1" x14ac:dyDescent="0.3">
      <c r="A6" s="21" t="s">
        <v>125</v>
      </c>
      <c r="B6" s="14">
        <v>571370.08000000007</v>
      </c>
      <c r="C6" s="14">
        <v>121138.20800000001</v>
      </c>
      <c r="D6" s="14">
        <f t="shared" si="3"/>
        <v>692508.28800000006</v>
      </c>
      <c r="E6" s="14">
        <v>46580.504000000001</v>
      </c>
      <c r="F6" s="14">
        <v>21504.728000000003</v>
      </c>
      <c r="G6" s="14">
        <f t="shared" si="4"/>
        <v>68085.232000000004</v>
      </c>
      <c r="H6" s="14">
        <v>580459.14</v>
      </c>
      <c r="I6" s="14">
        <v>67052.63</v>
      </c>
      <c r="J6" s="20">
        <f t="shared" si="2"/>
        <v>1408105.29</v>
      </c>
      <c r="K6" s="54">
        <v>0</v>
      </c>
      <c r="L6" s="14">
        <v>25660.497814048096</v>
      </c>
      <c r="M6" s="14"/>
      <c r="N6" s="14"/>
      <c r="P6" s="14">
        <v>110063.62</v>
      </c>
      <c r="Q6" s="14">
        <v>12732.700211732939</v>
      </c>
      <c r="R6" s="55">
        <v>0</v>
      </c>
      <c r="S6" s="14"/>
      <c r="U6" s="14">
        <v>5608.741874710001</v>
      </c>
      <c r="W6" s="18">
        <v>2200</v>
      </c>
      <c r="X6" s="18">
        <v>2182</v>
      </c>
      <c r="Y6" s="19">
        <v>32.447296058661777</v>
      </c>
      <c r="Z6" s="18">
        <v>260</v>
      </c>
      <c r="AA6" s="19">
        <v>52.692307692307693</v>
      </c>
      <c r="AB6" s="18">
        <v>6704</v>
      </c>
      <c r="AD6" s="11">
        <v>0</v>
      </c>
      <c r="AF6" s="11">
        <v>984059.28000000014</v>
      </c>
      <c r="AG6" s="11"/>
      <c r="AH6" s="64">
        <v>4269995</v>
      </c>
      <c r="AJ6" s="25" t="s">
        <v>6</v>
      </c>
      <c r="AK6" s="34" t="e">
        <f>SUM(AK7:AK8)</f>
        <v>#REF!</v>
      </c>
      <c r="AM6" s="25" t="s">
        <v>124</v>
      </c>
      <c r="AN6" s="30" t="e">
        <f>VLOOKUP($AK$2,'Diretrizes - Resumo'!$A$4:$M$30,12,)</f>
        <v>#REF!</v>
      </c>
      <c r="AR6" s="17"/>
    </row>
    <row r="7" spans="1:44" ht="16.5" thickBot="1" x14ac:dyDescent="0.3">
      <c r="A7" s="21" t="s">
        <v>123</v>
      </c>
      <c r="B7" s="14">
        <v>199437.94400000002</v>
      </c>
      <c r="C7" s="14">
        <v>40871.728000000003</v>
      </c>
      <c r="D7" s="14">
        <f t="shared" si="3"/>
        <v>240309.67200000002</v>
      </c>
      <c r="E7" s="14">
        <v>33169.32</v>
      </c>
      <c r="F7" s="14">
        <v>22426.176000000003</v>
      </c>
      <c r="G7" s="14">
        <f t="shared" si="4"/>
        <v>55595.495999999999</v>
      </c>
      <c r="H7" s="14">
        <v>297156.28999999998</v>
      </c>
      <c r="I7" s="14">
        <v>29653.07</v>
      </c>
      <c r="J7" s="20">
        <f t="shared" si="2"/>
        <v>622714.52799999993</v>
      </c>
      <c r="K7" s="54">
        <v>0</v>
      </c>
      <c r="L7" s="14">
        <v>11617.791798420327</v>
      </c>
      <c r="M7" s="14">
        <v>18040</v>
      </c>
      <c r="N7" s="14">
        <v>629725.45006169006</v>
      </c>
      <c r="P7" s="14">
        <v>49831.31</v>
      </c>
      <c r="Q7" s="14">
        <v>5762.7040616900194</v>
      </c>
      <c r="R7" s="55">
        <v>0</v>
      </c>
      <c r="S7" s="14"/>
      <c r="U7" s="14">
        <v>2768.9817116520007</v>
      </c>
      <c r="W7" s="18">
        <v>859.6</v>
      </c>
      <c r="X7" s="18">
        <v>853.6</v>
      </c>
      <c r="Y7" s="19">
        <v>39.081537019681356</v>
      </c>
      <c r="Z7" s="18">
        <v>292</v>
      </c>
      <c r="AA7" s="19">
        <v>70.205479452054789</v>
      </c>
      <c r="AB7" s="18">
        <v>3432</v>
      </c>
      <c r="AD7" s="11">
        <v>0</v>
      </c>
      <c r="AF7" s="11">
        <v>829755.32</v>
      </c>
      <c r="AG7" s="11"/>
      <c r="AH7" s="64">
        <v>877613</v>
      </c>
      <c r="AJ7" s="32" t="s">
        <v>82</v>
      </c>
      <c r="AK7" s="30" t="e">
        <f>VLOOKUP($AK$2,'Diretrizes - Resumo'!$A$4:$I$30,2,)</f>
        <v>#REF!</v>
      </c>
      <c r="AM7" s="25" t="s">
        <v>122</v>
      </c>
      <c r="AN7" s="30" t="e">
        <f>VLOOKUP($AK$2,'Diretrizes - Resumo'!$A$4:$M$30,13,)</f>
        <v>#REF!</v>
      </c>
      <c r="AR7" s="17"/>
    </row>
    <row r="8" spans="1:44" ht="16.5" thickBot="1" x14ac:dyDescent="0.3">
      <c r="A8" s="21" t="s">
        <v>121</v>
      </c>
      <c r="B8" s="14">
        <v>1635572.3840000003</v>
      </c>
      <c r="C8" s="14">
        <v>294898.40000000002</v>
      </c>
      <c r="D8" s="14">
        <f t="shared" si="3"/>
        <v>1930470.7840000005</v>
      </c>
      <c r="E8" s="14">
        <v>190196.36800000002</v>
      </c>
      <c r="F8" s="14">
        <v>80935.024000000005</v>
      </c>
      <c r="G8" s="14">
        <f t="shared" si="4"/>
        <v>271131.39199999999</v>
      </c>
      <c r="H8" s="14">
        <v>1581889.68</v>
      </c>
      <c r="I8" s="14">
        <v>190281.52</v>
      </c>
      <c r="J8" s="20">
        <f t="shared" si="2"/>
        <v>3973773.3760000002</v>
      </c>
      <c r="K8" s="54">
        <v>0</v>
      </c>
      <c r="L8" s="14">
        <v>72931.013699093732</v>
      </c>
      <c r="M8" s="14"/>
      <c r="N8" s="14"/>
      <c r="P8" s="14">
        <v>312817.45</v>
      </c>
      <c r="Q8" s="14">
        <v>37600.721619223594</v>
      </c>
      <c r="R8" s="55">
        <v>0</v>
      </c>
      <c r="S8" s="14"/>
      <c r="U8" s="14">
        <v>13509.034775547998</v>
      </c>
      <c r="W8" s="18">
        <v>7366.3</v>
      </c>
      <c r="X8" s="18">
        <v>6563.3</v>
      </c>
      <c r="Y8" s="19">
        <v>30.857952554355279</v>
      </c>
      <c r="Z8" s="18">
        <v>1025</v>
      </c>
      <c r="AA8" s="19">
        <v>50.926829268292686</v>
      </c>
      <c r="AB8" s="18">
        <v>18270</v>
      </c>
      <c r="AD8" s="11">
        <v>0</v>
      </c>
      <c r="AF8" s="11">
        <v>6314976.8100000005</v>
      </c>
      <c r="AG8" s="11"/>
      <c r="AH8" s="64">
        <v>14985284</v>
      </c>
      <c r="AJ8" s="32" t="s">
        <v>29</v>
      </c>
      <c r="AK8" s="30" t="e">
        <f>VLOOKUP($AK$2,'Diretrizes - Resumo'!$A$4:$I$30,3,)</f>
        <v>#REF!</v>
      </c>
      <c r="AM8" s="58" t="s">
        <v>120</v>
      </c>
      <c r="AN8" s="57" t="e">
        <f>VLOOKUP($AK$2,$A$4:$AF$30,29,)</f>
        <v>#REF!</v>
      </c>
      <c r="AR8" s="17"/>
    </row>
    <row r="9" spans="1:44" ht="16.5" thickBot="1" x14ac:dyDescent="0.3">
      <c r="A9" s="21" t="s">
        <v>119</v>
      </c>
      <c r="B9" s="14">
        <v>1073890.6000000001</v>
      </c>
      <c r="C9" s="14">
        <v>168626.54399999999</v>
      </c>
      <c r="D9" s="14">
        <f t="shared" si="3"/>
        <v>1242517.1440000001</v>
      </c>
      <c r="E9" s="14">
        <v>95297.712</v>
      </c>
      <c r="F9" s="14">
        <v>29076.736000000001</v>
      </c>
      <c r="G9" s="14">
        <f t="shared" si="4"/>
        <v>124374.448</v>
      </c>
      <c r="H9" s="14">
        <v>1034072.71</v>
      </c>
      <c r="I9" s="14">
        <v>107937.7</v>
      </c>
      <c r="J9" s="20">
        <f t="shared" si="2"/>
        <v>2508902.0020000003</v>
      </c>
      <c r="K9" s="54">
        <v>0</v>
      </c>
      <c r="L9" s="14">
        <v>45719.891289323386</v>
      </c>
      <c r="M9" s="14"/>
      <c r="N9" s="14"/>
      <c r="P9" s="14">
        <v>196102.85</v>
      </c>
      <c r="Q9" s="14">
        <v>23608.631521290605</v>
      </c>
      <c r="R9" s="55">
        <v>0</v>
      </c>
      <c r="S9" s="14">
        <v>17423.81414516392</v>
      </c>
      <c r="U9" s="14">
        <v>8893.9349598320005</v>
      </c>
      <c r="W9" s="18">
        <v>4728</v>
      </c>
      <c r="X9" s="18">
        <v>4542</v>
      </c>
      <c r="Y9" s="19">
        <v>32.298546895640683</v>
      </c>
      <c r="Z9" s="18">
        <v>437</v>
      </c>
      <c r="AA9" s="19">
        <v>42.334096109839813</v>
      </c>
      <c r="AB9" s="18">
        <v>11943</v>
      </c>
      <c r="AD9" s="11">
        <v>0</v>
      </c>
      <c r="AF9" s="11">
        <v>1187299.8600000001</v>
      </c>
      <c r="AG9" s="11"/>
      <c r="AH9" s="64">
        <v>9240580</v>
      </c>
      <c r="AJ9" s="25" t="s">
        <v>7</v>
      </c>
      <c r="AK9" s="33" t="e">
        <f>SUM(AK10:AK11)</f>
        <v>#REF!</v>
      </c>
      <c r="AM9" s="25" t="s">
        <v>118</v>
      </c>
      <c r="AN9" s="30" t="e">
        <f>VLOOKUP($AK$2,$A$4:$AF$30,32,)</f>
        <v>#REF!</v>
      </c>
      <c r="AR9" s="17"/>
    </row>
    <row r="10" spans="1:44" ht="16.5" thickBot="1" x14ac:dyDescent="0.3">
      <c r="A10" s="21" t="s">
        <v>117</v>
      </c>
      <c r="B10" s="14">
        <v>1778840.4559999995</v>
      </c>
      <c r="C10" s="14">
        <v>272509.68800000002</v>
      </c>
      <c r="D10" s="14">
        <f t="shared" si="3"/>
        <v>2051350.1439999996</v>
      </c>
      <c r="E10" s="14">
        <v>133096.54399999999</v>
      </c>
      <c r="F10" s="14">
        <v>53126.96</v>
      </c>
      <c r="G10" s="14">
        <f t="shared" si="4"/>
        <v>186223.50399999999</v>
      </c>
      <c r="H10" s="14">
        <v>1539550.1</v>
      </c>
      <c r="I10" s="14">
        <v>216423.76</v>
      </c>
      <c r="J10" s="20">
        <f t="shared" si="2"/>
        <v>3993547.5079999994</v>
      </c>
      <c r="K10" s="54">
        <v>0</v>
      </c>
      <c r="L10" s="14">
        <v>72880.70202486412</v>
      </c>
      <c r="M10" s="14"/>
      <c r="N10" s="14"/>
      <c r="P10" s="14">
        <v>312601.65000000002</v>
      </c>
      <c r="Q10" s="14">
        <v>42200.896909131261</v>
      </c>
      <c r="R10" s="55">
        <v>0</v>
      </c>
      <c r="S10" s="14"/>
      <c r="U10" s="14">
        <v>14886.088719709998</v>
      </c>
      <c r="W10" s="18">
        <v>6845.6</v>
      </c>
      <c r="X10" s="18">
        <v>6318.6</v>
      </c>
      <c r="Y10" s="19">
        <v>26.581837748868423</v>
      </c>
      <c r="Z10" s="18">
        <v>804</v>
      </c>
      <c r="AA10" s="19">
        <v>56.218905472636813</v>
      </c>
      <c r="AB10" s="18">
        <v>17781</v>
      </c>
      <c r="AD10" s="11">
        <v>0</v>
      </c>
      <c r="AF10" s="11">
        <v>1020703.8599999999</v>
      </c>
      <c r="AG10" s="11"/>
      <c r="AH10" s="64">
        <v>3094325</v>
      </c>
      <c r="AJ10" s="32" t="s">
        <v>83</v>
      </c>
      <c r="AK10" s="30" t="e">
        <f>VLOOKUP($AK$2,'Diretrizes - Resumo'!$A$4:$J$30,5,)</f>
        <v>#REF!</v>
      </c>
      <c r="AR10" s="17"/>
    </row>
    <row r="11" spans="1:44" ht="16.5" thickBot="1" x14ac:dyDescent="0.3">
      <c r="A11" s="21" t="s">
        <v>116</v>
      </c>
      <c r="B11" s="14">
        <v>1437738.3759999999</v>
      </c>
      <c r="C11" s="14">
        <v>82239.352000000014</v>
      </c>
      <c r="D11" s="14">
        <f t="shared" si="3"/>
        <v>1519977.7279999999</v>
      </c>
      <c r="E11" s="14">
        <v>128752.43200000002</v>
      </c>
      <c r="F11" s="14">
        <v>14149.88</v>
      </c>
      <c r="G11" s="14">
        <f t="shared" si="4"/>
        <v>142902.31200000001</v>
      </c>
      <c r="H11" s="14">
        <v>1327246.1399999999</v>
      </c>
      <c r="I11" s="14">
        <v>149580.47</v>
      </c>
      <c r="J11" s="20">
        <f t="shared" si="2"/>
        <v>3139706.6499999994</v>
      </c>
      <c r="K11" s="54">
        <v>0</v>
      </c>
      <c r="L11" s="14">
        <v>57264.654858299888</v>
      </c>
      <c r="M11" s="14"/>
      <c r="N11" s="14"/>
      <c r="P11" s="14">
        <v>245620.93</v>
      </c>
      <c r="Q11" s="14">
        <v>29557.581779246742</v>
      </c>
      <c r="R11" s="55">
        <v>0</v>
      </c>
      <c r="S11" s="14"/>
      <c r="U11" s="14">
        <v>11997.369723430005</v>
      </c>
      <c r="W11" s="18">
        <v>4055</v>
      </c>
      <c r="X11" s="18">
        <v>3960</v>
      </c>
      <c r="Y11" s="19">
        <v>6.868686868686865</v>
      </c>
      <c r="Z11" s="18">
        <v>484</v>
      </c>
      <c r="AA11" s="19">
        <v>29.545454545454547</v>
      </c>
      <c r="AB11" s="18">
        <v>15329</v>
      </c>
      <c r="AD11" s="11">
        <v>0</v>
      </c>
      <c r="AF11" s="11">
        <v>2085182.6499999997</v>
      </c>
      <c r="AG11" s="11"/>
      <c r="AH11" s="64">
        <v>4108508</v>
      </c>
      <c r="AJ11" s="32" t="s">
        <v>30</v>
      </c>
      <c r="AK11" s="30" t="e">
        <f>VLOOKUP($AK$2,'Diretrizes - Resumo'!$A$4:$I$30,6,)</f>
        <v>#REF!</v>
      </c>
      <c r="AR11" s="17"/>
    </row>
    <row r="12" spans="1:44" ht="16.5" thickBot="1" x14ac:dyDescent="0.3">
      <c r="A12" s="21" t="s">
        <v>114</v>
      </c>
      <c r="B12" s="14">
        <v>1379093.6640000001</v>
      </c>
      <c r="C12" s="14">
        <v>221931.152</v>
      </c>
      <c r="D12" s="14">
        <f t="shared" si="3"/>
        <v>1601024.8160000001</v>
      </c>
      <c r="E12" s="14">
        <v>82964.975999999995</v>
      </c>
      <c r="F12" s="14">
        <v>90843.423999999999</v>
      </c>
      <c r="G12" s="14">
        <f t="shared" si="4"/>
        <v>173808.4</v>
      </c>
      <c r="H12" s="14">
        <v>2651635</v>
      </c>
      <c r="I12" s="14">
        <v>158024.91</v>
      </c>
      <c r="J12" s="20">
        <f t="shared" si="2"/>
        <v>4584493.1260000002</v>
      </c>
      <c r="K12" s="54">
        <v>0</v>
      </c>
      <c r="L12" s="14">
        <v>84498.899430433084</v>
      </c>
      <c r="M12" s="14"/>
      <c r="N12" s="14"/>
      <c r="P12" s="14">
        <v>362434.7</v>
      </c>
      <c r="Q12" s="14">
        <v>43313.642250348523</v>
      </c>
      <c r="R12" s="55">
        <v>0</v>
      </c>
      <c r="S12" s="14"/>
      <c r="U12" s="14">
        <v>20244.566489575998</v>
      </c>
      <c r="W12" s="18">
        <v>5336</v>
      </c>
      <c r="X12" s="18">
        <v>5100</v>
      </c>
      <c r="Y12" s="19">
        <v>28.274509803921561</v>
      </c>
      <c r="Z12" s="18">
        <v>721</v>
      </c>
      <c r="AA12" s="19">
        <v>69.625520110957012</v>
      </c>
      <c r="AB12" s="18">
        <v>30625</v>
      </c>
      <c r="AD12" s="11">
        <v>0</v>
      </c>
      <c r="AF12" s="11">
        <v>2015911.7999999998</v>
      </c>
      <c r="AG12" s="11"/>
      <c r="AH12" s="64">
        <v>7206589</v>
      </c>
      <c r="AJ12" s="27" t="s">
        <v>28</v>
      </c>
      <c r="AK12" s="30" t="e">
        <f>VLOOKUP($AK$2,'Diretrizes - Resumo'!$A$4:$I$30,8,)</f>
        <v>#REF!</v>
      </c>
      <c r="AR12" s="17"/>
    </row>
    <row r="13" spans="1:44" ht="16.5" thickBot="1" x14ac:dyDescent="0.3">
      <c r="A13" s="21" t="s">
        <v>113</v>
      </c>
      <c r="B13" s="14">
        <v>511040.36800000002</v>
      </c>
      <c r="C13" s="14">
        <v>104363.144</v>
      </c>
      <c r="D13" s="14">
        <f t="shared" si="3"/>
        <v>615403.51199999999</v>
      </c>
      <c r="E13" s="14">
        <v>41637.815999999999</v>
      </c>
      <c r="F13" s="14">
        <v>37561.279999999999</v>
      </c>
      <c r="G13" s="14">
        <f t="shared" si="4"/>
        <v>79199.09599999999</v>
      </c>
      <c r="H13" s="14">
        <v>479848.53</v>
      </c>
      <c r="I13" s="14">
        <v>52850.3</v>
      </c>
      <c r="J13" s="20">
        <f t="shared" si="2"/>
        <v>1227301.4380000001</v>
      </c>
      <c r="K13" s="54">
        <v>0</v>
      </c>
      <c r="L13" s="14">
        <v>22699.741551492109</v>
      </c>
      <c r="M13" s="14">
        <v>17240</v>
      </c>
      <c r="N13" s="14">
        <v>124511.19545994185</v>
      </c>
      <c r="P13" s="14">
        <v>97364.27</v>
      </c>
      <c r="Q13" s="14">
        <v>11374.589459941722</v>
      </c>
      <c r="R13" s="55">
        <v>0</v>
      </c>
      <c r="S13" s="14"/>
      <c r="U13" s="14">
        <v>4047.925050624001</v>
      </c>
      <c r="W13" s="18">
        <v>2161</v>
      </c>
      <c r="X13" s="18">
        <v>2133</v>
      </c>
      <c r="Y13" s="19">
        <v>35.067979371776829</v>
      </c>
      <c r="Z13" s="18">
        <v>301</v>
      </c>
      <c r="AA13" s="19">
        <v>63.455149501661126</v>
      </c>
      <c r="AB13" s="18">
        <v>5542</v>
      </c>
      <c r="AD13" s="11">
        <v>0</v>
      </c>
      <c r="AF13" s="11">
        <v>67318.429999999993</v>
      </c>
      <c r="AG13" s="11"/>
      <c r="AH13" s="64">
        <v>7153262</v>
      </c>
      <c r="AJ13" s="27" t="s">
        <v>112</v>
      </c>
      <c r="AK13" s="30" t="e">
        <f>VLOOKUP($AK$2,'Diretrizes - Resumo'!$A$4:$I$30,9,)</f>
        <v>#REF!</v>
      </c>
      <c r="AR13" s="17"/>
    </row>
    <row r="14" spans="1:44" ht="16.5" thickBot="1" x14ac:dyDescent="0.3">
      <c r="A14" s="21" t="s">
        <v>110</v>
      </c>
      <c r="B14" s="14">
        <v>4786978.784</v>
      </c>
      <c r="C14" s="14">
        <v>672571.16</v>
      </c>
      <c r="D14" s="14">
        <f t="shared" si="3"/>
        <v>5459549.9440000001</v>
      </c>
      <c r="E14" s="14">
        <v>430923.35200000007</v>
      </c>
      <c r="F14" s="14">
        <v>80833.144</v>
      </c>
      <c r="G14" s="14">
        <f t="shared" si="4"/>
        <v>511756.49600000004</v>
      </c>
      <c r="H14" s="14">
        <v>4935114.83</v>
      </c>
      <c r="I14" s="14">
        <v>592965.98</v>
      </c>
      <c r="J14" s="20">
        <f t="shared" si="2"/>
        <v>11499387.25</v>
      </c>
      <c r="K14" s="54">
        <v>0</v>
      </c>
      <c r="L14" s="14">
        <v>208977.01377463364</v>
      </c>
      <c r="M14" s="14"/>
      <c r="N14" s="14"/>
      <c r="P14" s="14">
        <v>896349.2</v>
      </c>
      <c r="Q14" s="14">
        <v>111232.1710148775</v>
      </c>
      <c r="R14" s="55">
        <v>0</v>
      </c>
      <c r="S14" s="14"/>
      <c r="U14" s="14">
        <v>47746.521404244006</v>
      </c>
      <c r="W14" s="18">
        <v>17458</v>
      </c>
      <c r="X14" s="18">
        <v>16749</v>
      </c>
      <c r="Y14" s="19">
        <v>24.67610006567557</v>
      </c>
      <c r="Z14" s="18">
        <v>1892</v>
      </c>
      <c r="AA14" s="19">
        <v>39.746300211416482</v>
      </c>
      <c r="AB14" s="18">
        <v>56998</v>
      </c>
      <c r="AD14" s="11">
        <v>0</v>
      </c>
      <c r="AF14" s="11">
        <v>9291279.5399999991</v>
      </c>
      <c r="AG14" s="11"/>
      <c r="AH14" s="64">
        <v>21411923</v>
      </c>
      <c r="AJ14" s="27" t="s">
        <v>8</v>
      </c>
      <c r="AK14" s="29"/>
      <c r="AR14" s="17"/>
    </row>
    <row r="15" spans="1:44" ht="16.5" thickBot="1" x14ac:dyDescent="0.3">
      <c r="A15" s="21" t="s">
        <v>108</v>
      </c>
      <c r="B15" s="14">
        <v>854276.04800000007</v>
      </c>
      <c r="C15" s="14">
        <v>228507.67200000002</v>
      </c>
      <c r="D15" s="14">
        <f t="shared" si="3"/>
        <v>1082783.7200000002</v>
      </c>
      <c r="E15" s="14">
        <v>121900.35200000001</v>
      </c>
      <c r="F15" s="14">
        <v>53173.90400000001</v>
      </c>
      <c r="G15" s="14">
        <f t="shared" si="4"/>
        <v>175074.25600000002</v>
      </c>
      <c r="H15" s="14">
        <v>1860776.74</v>
      </c>
      <c r="I15" s="14">
        <v>144739.51999999999</v>
      </c>
      <c r="J15" s="20">
        <f t="shared" si="2"/>
        <v>3263374.236</v>
      </c>
      <c r="K15" s="54">
        <v>0</v>
      </c>
      <c r="L15" s="14">
        <v>59706.587859465071</v>
      </c>
      <c r="M15" s="14"/>
      <c r="N15" s="14"/>
      <c r="P15" s="14">
        <v>256094.92</v>
      </c>
      <c r="Q15" s="14">
        <v>30235.562340461736</v>
      </c>
      <c r="R15" s="55">
        <v>0</v>
      </c>
      <c r="S15" s="14"/>
      <c r="U15" s="14">
        <v>14188.692829558004</v>
      </c>
      <c r="W15" s="18">
        <v>3649</v>
      </c>
      <c r="X15" s="18">
        <v>3554</v>
      </c>
      <c r="Y15" s="19">
        <v>36.381541924592007</v>
      </c>
      <c r="Z15" s="18">
        <v>686</v>
      </c>
      <c r="AA15" s="19">
        <v>52.915451895043731</v>
      </c>
      <c r="AB15" s="18">
        <v>21491</v>
      </c>
      <c r="AD15" s="11">
        <v>0</v>
      </c>
      <c r="AF15" s="11">
        <v>715780.57</v>
      </c>
      <c r="AG15" s="11"/>
      <c r="AH15" s="64">
        <v>2839188</v>
      </c>
      <c r="AJ15" s="27" t="s">
        <v>75</v>
      </c>
      <c r="AK15" s="26" t="e">
        <f>VLOOKUP($AK$2,'Diretrizes - Resumo'!$A$4:$U$30,21,)</f>
        <v>#REF!</v>
      </c>
      <c r="AR15" s="17"/>
    </row>
    <row r="16" spans="1:44" ht="16.5" thickBot="1" x14ac:dyDescent="0.3">
      <c r="A16" s="21" t="s">
        <v>106</v>
      </c>
      <c r="B16" s="14">
        <v>1059141.1679999998</v>
      </c>
      <c r="C16" s="14">
        <v>128444.17600000001</v>
      </c>
      <c r="D16" s="14">
        <f t="shared" si="3"/>
        <v>1187585.3439999998</v>
      </c>
      <c r="E16" s="14">
        <v>108266.90399999998</v>
      </c>
      <c r="F16" s="14">
        <v>47635.456000000006</v>
      </c>
      <c r="G16" s="14">
        <f t="shared" si="4"/>
        <v>155902.35999999999</v>
      </c>
      <c r="H16" s="14">
        <v>2977710.34</v>
      </c>
      <c r="I16" s="14">
        <v>129635.94</v>
      </c>
      <c r="J16" s="20">
        <f t="shared" si="2"/>
        <v>4450833.9839999992</v>
      </c>
      <c r="K16" s="54">
        <v>0</v>
      </c>
      <c r="L16" s="14">
        <v>81621.154888239675</v>
      </c>
      <c r="M16" s="14"/>
      <c r="N16" s="14"/>
      <c r="P16" s="14">
        <v>350091.41</v>
      </c>
      <c r="Q16" s="14">
        <v>42028.667586903612</v>
      </c>
      <c r="R16" s="55">
        <v>0</v>
      </c>
      <c r="S16" s="14"/>
      <c r="U16" s="14">
        <v>18539.373852427998</v>
      </c>
      <c r="W16" s="18">
        <v>3626</v>
      </c>
      <c r="X16" s="18">
        <v>3563</v>
      </c>
      <c r="Y16" s="19">
        <v>23.294976143699131</v>
      </c>
      <c r="Z16" s="18">
        <v>643</v>
      </c>
      <c r="AA16" s="19">
        <v>55.520995334370141</v>
      </c>
      <c r="AB16" s="18">
        <v>34391</v>
      </c>
      <c r="AD16" s="11">
        <v>0</v>
      </c>
      <c r="AF16" s="11">
        <v>1836973.55</v>
      </c>
      <c r="AG16" s="11"/>
      <c r="AH16" s="64">
        <v>3567234</v>
      </c>
      <c r="AJ16" s="27" t="s">
        <v>9</v>
      </c>
      <c r="AK16" s="26" t="e">
        <f>VLOOKUP($AK$2,'Diretrizes - Resumo'!$A$4:$N$30,14,)</f>
        <v>#REF!</v>
      </c>
      <c r="AR16" s="17"/>
    </row>
    <row r="17" spans="1:44" ht="16.5" thickBot="1" x14ac:dyDescent="0.3">
      <c r="A17" s="21" t="s">
        <v>104</v>
      </c>
      <c r="B17" s="14">
        <v>631256.57600000012</v>
      </c>
      <c r="C17" s="14">
        <v>288818.38400000002</v>
      </c>
      <c r="D17" s="14">
        <f t="shared" si="3"/>
        <v>920074.9600000002</v>
      </c>
      <c r="E17" s="14">
        <v>51412.072</v>
      </c>
      <c r="F17" s="14">
        <v>30925.567999999999</v>
      </c>
      <c r="G17" s="14">
        <f t="shared" si="4"/>
        <v>82337.64</v>
      </c>
      <c r="H17" s="14">
        <v>718127.7</v>
      </c>
      <c r="I17" s="14">
        <v>77424.31</v>
      </c>
      <c r="J17" s="20">
        <f t="shared" si="2"/>
        <v>1797964.6100000003</v>
      </c>
      <c r="K17" s="54">
        <v>0</v>
      </c>
      <c r="L17" s="14">
        <v>32368.105936475167</v>
      </c>
      <c r="M17" s="14"/>
      <c r="N17" s="14"/>
      <c r="P17" s="14">
        <v>138834.04999999999</v>
      </c>
      <c r="Q17" s="14">
        <v>16260.147768444294</v>
      </c>
      <c r="R17" s="55">
        <v>0</v>
      </c>
      <c r="S17" s="14"/>
      <c r="U17" s="14">
        <v>7872.5147328100011</v>
      </c>
      <c r="W17" s="18">
        <v>3191.6</v>
      </c>
      <c r="X17" s="18">
        <v>3024.6</v>
      </c>
      <c r="Y17" s="19">
        <v>42.306420683726778</v>
      </c>
      <c r="Z17" s="18">
        <v>435</v>
      </c>
      <c r="AA17" s="19">
        <v>68.735632183908052</v>
      </c>
      <c r="AB17" s="18">
        <v>8294</v>
      </c>
      <c r="AD17" s="11">
        <v>0</v>
      </c>
      <c r="AF17" s="11">
        <v>1313598.9600000002</v>
      </c>
      <c r="AG17" s="11"/>
      <c r="AH17" s="64">
        <v>8777124</v>
      </c>
      <c r="AJ17" s="8"/>
      <c r="AK17" s="23"/>
      <c r="AR17" s="17"/>
    </row>
    <row r="18" spans="1:44" ht="16.5" thickBot="1" x14ac:dyDescent="0.3">
      <c r="A18" s="21" t="s">
        <v>103</v>
      </c>
      <c r="B18" s="14">
        <v>779545.16800000006</v>
      </c>
      <c r="C18" s="14">
        <v>158167.88800000001</v>
      </c>
      <c r="D18" s="14">
        <f t="shared" si="3"/>
        <v>937713.0560000001</v>
      </c>
      <c r="E18" s="14">
        <v>67108.960000000006</v>
      </c>
      <c r="F18" s="14">
        <v>26325.712</v>
      </c>
      <c r="G18" s="14">
        <f t="shared" si="4"/>
        <v>93434.672000000006</v>
      </c>
      <c r="H18" s="14">
        <v>832331.99</v>
      </c>
      <c r="I18" s="14">
        <v>102491.38</v>
      </c>
      <c r="J18" s="20">
        <f t="shared" si="2"/>
        <v>1965971.0980000002</v>
      </c>
      <c r="K18" s="54">
        <v>0</v>
      </c>
      <c r="L18" s="14">
        <v>36436.63269749692</v>
      </c>
      <c r="M18" s="14"/>
      <c r="N18" s="14"/>
      <c r="P18" s="14">
        <v>156284.88</v>
      </c>
      <c r="Q18" s="14">
        <v>18644.740937998373</v>
      </c>
      <c r="R18" s="55">
        <v>0</v>
      </c>
      <c r="S18" s="14">
        <v>15265.447867322171</v>
      </c>
      <c r="U18" s="14">
        <v>8597.2352596519995</v>
      </c>
      <c r="W18" s="18">
        <v>3134</v>
      </c>
      <c r="X18" s="18">
        <v>3068</v>
      </c>
      <c r="Y18" s="19">
        <v>30.019556714471975</v>
      </c>
      <c r="Z18" s="18">
        <v>273</v>
      </c>
      <c r="AA18" s="19">
        <v>35.164835164835168</v>
      </c>
      <c r="AB18" s="18">
        <v>9613</v>
      </c>
      <c r="AD18" s="11">
        <v>0</v>
      </c>
      <c r="AF18" s="11">
        <v>1288484.52</v>
      </c>
      <c r="AG18" s="11"/>
      <c r="AH18" s="64">
        <v>4059905</v>
      </c>
      <c r="AJ18" s="85" t="s">
        <v>115</v>
      </c>
      <c r="AK18" s="86"/>
      <c r="AR18" s="17"/>
    </row>
    <row r="19" spans="1:44" ht="16.5" thickBot="1" x14ac:dyDescent="0.3">
      <c r="A19" s="21" t="s">
        <v>88</v>
      </c>
      <c r="B19" s="14">
        <v>1465865.0480000004</v>
      </c>
      <c r="C19" s="14">
        <v>195462.53600000002</v>
      </c>
      <c r="D19" s="14">
        <f t="shared" si="3"/>
        <v>1661327.5840000005</v>
      </c>
      <c r="E19" s="14">
        <v>118013.40800000001</v>
      </c>
      <c r="F19" s="14">
        <v>26716.376000000004</v>
      </c>
      <c r="G19" s="14">
        <f t="shared" si="4"/>
        <v>144729.78400000001</v>
      </c>
      <c r="H19" s="14">
        <v>1582322.6</v>
      </c>
      <c r="I19" s="14">
        <v>186360.9</v>
      </c>
      <c r="J19" s="20">
        <f t="shared" si="2"/>
        <v>3574740.8680000007</v>
      </c>
      <c r="K19" s="54">
        <v>0</v>
      </c>
      <c r="L19" s="14">
        <v>65037.65631003493</v>
      </c>
      <c r="M19" s="14"/>
      <c r="N19" s="14"/>
      <c r="P19" s="14">
        <v>278961.07</v>
      </c>
      <c r="Q19" s="14">
        <v>33917.863196986669</v>
      </c>
      <c r="R19" s="55">
        <v>0</v>
      </c>
      <c r="S19" s="14"/>
      <c r="U19" s="14">
        <v>13702.667599894003</v>
      </c>
      <c r="W19" s="18">
        <v>5504.8</v>
      </c>
      <c r="X19" s="18">
        <v>5056.8</v>
      </c>
      <c r="Y19" s="19">
        <v>22.737699731055216</v>
      </c>
      <c r="Z19" s="18">
        <v>537</v>
      </c>
      <c r="AA19" s="19">
        <v>38.175046554934823</v>
      </c>
      <c r="AB19" s="18">
        <v>18275</v>
      </c>
      <c r="AD19" s="11">
        <v>0</v>
      </c>
      <c r="AF19" s="11">
        <v>781387.39999999991</v>
      </c>
      <c r="AG19" s="11"/>
      <c r="AH19" s="64">
        <v>9674793</v>
      </c>
      <c r="AJ19" s="60" t="s">
        <v>159</v>
      </c>
      <c r="AK19" s="24" t="e">
        <f>VLOOKUP($AK$2,'Diretrizes - Resumo'!$A$4:$AB$30,23,)</f>
        <v>#REF!</v>
      </c>
      <c r="AR19" s="17"/>
    </row>
    <row r="20" spans="1:44" ht="16.5" thickBot="1" x14ac:dyDescent="0.3">
      <c r="A20" s="21" t="s">
        <v>102</v>
      </c>
      <c r="B20" s="14">
        <v>441365.21600000001</v>
      </c>
      <c r="C20" s="14">
        <v>55796.368000000009</v>
      </c>
      <c r="D20" s="14">
        <f t="shared" si="3"/>
        <v>497161.58400000003</v>
      </c>
      <c r="E20" s="14">
        <v>58238.896000000001</v>
      </c>
      <c r="F20" s="14">
        <v>10494.816000000001</v>
      </c>
      <c r="G20" s="14">
        <f t="shared" si="4"/>
        <v>68733.712</v>
      </c>
      <c r="H20" s="14">
        <v>415430.03</v>
      </c>
      <c r="I20" s="14">
        <v>44159.64</v>
      </c>
      <c r="J20" s="20">
        <f t="shared" si="2"/>
        <v>1025484.966</v>
      </c>
      <c r="K20" s="54">
        <v>0</v>
      </c>
      <c r="L20" s="14">
        <v>18707.909105583629</v>
      </c>
      <c r="M20" s="14">
        <v>16840</v>
      </c>
      <c r="N20" s="14">
        <v>323635.37833657151</v>
      </c>
      <c r="P20" s="14">
        <v>80242.41</v>
      </c>
      <c r="Q20" s="14">
        <v>9280.7303365715197</v>
      </c>
      <c r="R20" s="55">
        <v>0</v>
      </c>
      <c r="S20" s="14"/>
      <c r="U20" s="14">
        <v>3293.3190637360003</v>
      </c>
      <c r="W20" s="18">
        <v>1641</v>
      </c>
      <c r="X20" s="18">
        <v>1599</v>
      </c>
      <c r="Y20" s="19">
        <v>25.203252032520325</v>
      </c>
      <c r="Z20" s="18">
        <v>275</v>
      </c>
      <c r="AA20" s="19">
        <v>43.63636363636364</v>
      </c>
      <c r="AB20" s="18">
        <v>4798</v>
      </c>
      <c r="AD20" s="11">
        <v>0</v>
      </c>
      <c r="AF20" s="11">
        <v>102180.46</v>
      </c>
      <c r="AG20" s="11"/>
      <c r="AH20" s="64">
        <v>3289290</v>
      </c>
      <c r="AJ20" s="60" t="s">
        <v>160</v>
      </c>
      <c r="AK20" s="24" t="e">
        <f>VLOOKUP($AK$2,'Diretrizes - Resumo'!$A$4:$AB$30,24,)</f>
        <v>#REF!</v>
      </c>
      <c r="AR20" s="17"/>
    </row>
    <row r="21" spans="1:44" ht="16.5" thickBot="1" x14ac:dyDescent="0.3">
      <c r="A21" s="21" t="s">
        <v>101</v>
      </c>
      <c r="B21" s="14">
        <v>3584729.5519999997</v>
      </c>
      <c r="C21" s="14">
        <v>483287.37599999999</v>
      </c>
      <c r="D21" s="14">
        <f t="shared" si="3"/>
        <v>4068016.9279999998</v>
      </c>
      <c r="E21" s="14">
        <v>492594.59999999992</v>
      </c>
      <c r="F21" s="14">
        <v>130089.73600000002</v>
      </c>
      <c r="G21" s="14">
        <f t="shared" si="4"/>
        <v>622684.33599999989</v>
      </c>
      <c r="H21" s="14">
        <v>6433970.46</v>
      </c>
      <c r="I21" s="14">
        <v>444986.87</v>
      </c>
      <c r="J21" s="20">
        <f t="shared" si="2"/>
        <v>11569658.594000001</v>
      </c>
      <c r="K21" s="54">
        <v>0</v>
      </c>
      <c r="L21" s="14">
        <v>211768.97709494023</v>
      </c>
      <c r="M21" s="14"/>
      <c r="N21" s="14"/>
      <c r="P21" s="14">
        <v>908324.56</v>
      </c>
      <c r="Q21" s="14">
        <v>109891.24211973045</v>
      </c>
      <c r="R21" s="55">
        <v>0</v>
      </c>
      <c r="S21" s="14"/>
      <c r="U21" s="14">
        <v>55576.003279602017</v>
      </c>
      <c r="W21" s="18">
        <v>14181</v>
      </c>
      <c r="X21" s="18">
        <v>13769</v>
      </c>
      <c r="Y21" s="19">
        <v>30.626770281066158</v>
      </c>
      <c r="Z21" s="18">
        <v>2791</v>
      </c>
      <c r="AA21" s="19">
        <v>53.31422429236833</v>
      </c>
      <c r="AB21" s="18">
        <v>74309</v>
      </c>
      <c r="AD21" s="11">
        <v>0</v>
      </c>
      <c r="AF21" s="11">
        <v>13878149.049999999</v>
      </c>
      <c r="AG21" s="11"/>
      <c r="AH21" s="64">
        <v>11597484</v>
      </c>
      <c r="AJ21" s="59" t="s">
        <v>111</v>
      </c>
      <c r="AK21" s="28" t="e">
        <f>VLOOKUP($AK$2,'Diretrizes - Resumo'!$A$4:$AB$30,25,)</f>
        <v>#REF!</v>
      </c>
      <c r="AR21" s="17"/>
    </row>
    <row r="22" spans="1:44" ht="16.5" thickBot="1" x14ac:dyDescent="0.3">
      <c r="A22" s="21" t="s">
        <v>100</v>
      </c>
      <c r="B22" s="14">
        <v>4637544.568</v>
      </c>
      <c r="C22" s="14">
        <v>1377724.6320000002</v>
      </c>
      <c r="D22" s="14">
        <f t="shared" si="3"/>
        <v>6015269.2000000002</v>
      </c>
      <c r="E22" s="14">
        <v>613813.02400000009</v>
      </c>
      <c r="F22" s="14">
        <v>307902.50400000002</v>
      </c>
      <c r="G22" s="14">
        <f t="shared" si="4"/>
        <v>921715.52800000017</v>
      </c>
      <c r="H22" s="14">
        <v>5158328.38</v>
      </c>
      <c r="I22" s="14">
        <v>665242.22</v>
      </c>
      <c r="J22" s="20">
        <f t="shared" si="2"/>
        <v>12760555.328</v>
      </c>
      <c r="K22" s="54">
        <v>0</v>
      </c>
      <c r="L22" s="14">
        <v>225894.11830159381</v>
      </c>
      <c r="M22" s="14"/>
      <c r="N22" s="14"/>
      <c r="P22" s="14">
        <v>968910.45</v>
      </c>
      <c r="Q22" s="14">
        <v>127374.78823620477</v>
      </c>
      <c r="R22" s="55">
        <v>0</v>
      </c>
      <c r="S22" s="14">
        <v>157897.52974945167</v>
      </c>
      <c r="U22" s="14">
        <v>38847.512405962007</v>
      </c>
      <c r="W22" s="18">
        <v>21599.333333333332</v>
      </c>
      <c r="X22" s="18">
        <v>18095.333333333332</v>
      </c>
      <c r="Y22" s="19">
        <v>27.810116788858991</v>
      </c>
      <c r="Z22" s="18">
        <v>2932</v>
      </c>
      <c r="AA22" s="19">
        <v>44.611186903137792</v>
      </c>
      <c r="AB22" s="18">
        <v>59576</v>
      </c>
      <c r="AD22" s="11">
        <v>0</v>
      </c>
      <c r="AF22" s="11">
        <v>5939954.9100000001</v>
      </c>
      <c r="AG22" s="11"/>
      <c r="AH22" s="64">
        <v>17463349</v>
      </c>
      <c r="AJ22" s="25" t="s">
        <v>109</v>
      </c>
      <c r="AK22" s="24" t="e">
        <f>VLOOKUP($AK$2,'Diretrizes - Resumo'!$A$4:$AB$30,26,)</f>
        <v>#REF!</v>
      </c>
      <c r="AR22" s="17"/>
    </row>
    <row r="23" spans="1:44" ht="16.5" thickBot="1" x14ac:dyDescent="0.3">
      <c r="A23" s="21" t="s">
        <v>99</v>
      </c>
      <c r="B23" s="14">
        <v>713019</v>
      </c>
      <c r="C23" s="14">
        <v>157137.48799999998</v>
      </c>
      <c r="D23" s="14">
        <f t="shared" si="3"/>
        <v>870156.48800000001</v>
      </c>
      <c r="E23" s="14">
        <v>52927.455999999998</v>
      </c>
      <c r="F23" s="14">
        <v>39673.744000000006</v>
      </c>
      <c r="G23" s="14">
        <f t="shared" si="4"/>
        <v>92601.200000000012</v>
      </c>
      <c r="H23" s="14">
        <v>877269.09</v>
      </c>
      <c r="I23" s="14">
        <v>81554.3</v>
      </c>
      <c r="J23" s="20">
        <f t="shared" si="2"/>
        <v>1921581.0780000002</v>
      </c>
      <c r="K23" s="54">
        <v>0</v>
      </c>
      <c r="L23" s="14">
        <v>35226.751940680093</v>
      </c>
      <c r="M23" s="14"/>
      <c r="N23" s="14"/>
      <c r="P23" s="14">
        <v>151095.43</v>
      </c>
      <c r="Q23" s="14">
        <v>18135.485503182223</v>
      </c>
      <c r="R23" s="55">
        <v>0</v>
      </c>
      <c r="S23" s="14"/>
      <c r="U23" s="14">
        <v>7447.4280785060009</v>
      </c>
      <c r="W23" s="18">
        <v>2816</v>
      </c>
      <c r="X23" s="18">
        <v>2736</v>
      </c>
      <c r="Y23" s="19">
        <v>30.701754385964904</v>
      </c>
      <c r="Z23" s="18">
        <v>316</v>
      </c>
      <c r="AA23" s="19">
        <v>55.696202531645575</v>
      </c>
      <c r="AB23" s="18">
        <v>10132</v>
      </c>
      <c r="AD23" s="11">
        <v>0</v>
      </c>
      <c r="AF23" s="11">
        <v>1125992.78</v>
      </c>
      <c r="AG23" s="11"/>
      <c r="AH23" s="64">
        <v>3560903</v>
      </c>
      <c r="AJ23" s="25" t="s">
        <v>107</v>
      </c>
      <c r="AK23" s="28" t="e">
        <f>VLOOKUP($AK$2,'Diretrizes - Resumo'!$A$4:$AB$30,27,)</f>
        <v>#REF!</v>
      </c>
      <c r="AR23" s="17"/>
    </row>
    <row r="24" spans="1:44" ht="16.5" thickBot="1" x14ac:dyDescent="0.3">
      <c r="A24" s="21" t="s">
        <v>98</v>
      </c>
      <c r="B24" s="14">
        <v>376617.67199999996</v>
      </c>
      <c r="C24" s="14">
        <v>50792.112000000001</v>
      </c>
      <c r="D24" s="14">
        <f t="shared" si="3"/>
        <v>427409.78399999999</v>
      </c>
      <c r="E24" s="14">
        <v>41183.200000000004</v>
      </c>
      <c r="F24" s="14">
        <v>14584.256000000001</v>
      </c>
      <c r="G24" s="14">
        <f t="shared" si="4"/>
        <v>55767.456000000006</v>
      </c>
      <c r="H24" s="14">
        <v>953030.09</v>
      </c>
      <c r="I24" s="14">
        <v>64629.33</v>
      </c>
      <c r="J24" s="20">
        <f t="shared" si="2"/>
        <v>1500836.66</v>
      </c>
      <c r="K24" s="54">
        <v>0</v>
      </c>
      <c r="L24" s="14">
        <v>27471.485518262714</v>
      </c>
      <c r="M24" s="14"/>
      <c r="N24" s="14"/>
      <c r="P24" s="14">
        <v>117831.35</v>
      </c>
      <c r="Q24" s="14">
        <v>13899.250191988889</v>
      </c>
      <c r="R24" s="55">
        <v>0</v>
      </c>
      <c r="S24" s="14"/>
      <c r="U24" s="14">
        <v>5793.1311791340013</v>
      </c>
      <c r="W24" s="18">
        <v>1461.8</v>
      </c>
      <c r="X24" s="18">
        <v>1442.8</v>
      </c>
      <c r="Y24" s="19">
        <v>28.611034100360413</v>
      </c>
      <c r="Z24" s="18">
        <v>241</v>
      </c>
      <c r="AA24" s="19">
        <v>54.771784232365142</v>
      </c>
      <c r="AB24" s="18">
        <v>11007</v>
      </c>
      <c r="AD24" s="11">
        <v>0</v>
      </c>
      <c r="AF24" s="11">
        <v>1207427.8900000001</v>
      </c>
      <c r="AG24" s="11"/>
      <c r="AH24" s="64">
        <v>1815278</v>
      </c>
      <c r="AJ24" s="59" t="s">
        <v>105</v>
      </c>
      <c r="AK24" s="24" t="e">
        <f>VLOOKUP($AK$2,'Diretrizes - Resumo'!$A$4:$AB$30,28,)</f>
        <v>#REF!</v>
      </c>
      <c r="AR24" s="17"/>
    </row>
    <row r="25" spans="1:44" ht="16.5" thickBot="1" x14ac:dyDescent="0.3">
      <c r="A25" s="21" t="s">
        <v>97</v>
      </c>
      <c r="B25" s="14">
        <v>58052.096000000012</v>
      </c>
      <c r="C25" s="14">
        <v>10597.968000000001</v>
      </c>
      <c r="D25" s="14">
        <f t="shared" si="3"/>
        <v>68650.064000000013</v>
      </c>
      <c r="E25" s="14">
        <v>8061.8640000000014</v>
      </c>
      <c r="F25" s="14">
        <v>4434.5600000000004</v>
      </c>
      <c r="G25" s="14">
        <f t="shared" si="4"/>
        <v>12496.424000000003</v>
      </c>
      <c r="H25" s="14">
        <v>109875.1</v>
      </c>
      <c r="I25" s="14">
        <v>7640.86</v>
      </c>
      <c r="J25" s="20">
        <f t="shared" si="2"/>
        <v>198662.44800000003</v>
      </c>
      <c r="K25" s="54">
        <v>0</v>
      </c>
      <c r="L25" s="14">
        <v>3667.0231318440547</v>
      </c>
      <c r="M25" s="14">
        <v>17640</v>
      </c>
      <c r="N25" s="14">
        <v>1027072.3434838187</v>
      </c>
      <c r="P25" s="14">
        <v>15728.68</v>
      </c>
      <c r="Q25" s="14">
        <v>1935.0334838186973</v>
      </c>
      <c r="R25" s="55">
        <v>0</v>
      </c>
      <c r="S25" s="14"/>
      <c r="U25" s="14">
        <v>735.73557525000024</v>
      </c>
      <c r="W25" s="18">
        <v>250</v>
      </c>
      <c r="X25" s="18">
        <v>241</v>
      </c>
      <c r="Y25" s="19">
        <v>35.269709543568467</v>
      </c>
      <c r="Z25" s="18">
        <v>64</v>
      </c>
      <c r="AA25" s="19">
        <v>65.625</v>
      </c>
      <c r="AB25" s="18">
        <v>1269</v>
      </c>
      <c r="AD25" s="11">
        <v>0</v>
      </c>
      <c r="AF25" s="11">
        <v>245329.86999999997</v>
      </c>
      <c r="AG25" s="11"/>
      <c r="AH25" s="64">
        <v>652713</v>
      </c>
      <c r="AR25" s="17"/>
    </row>
    <row r="26" spans="1:44" ht="16.5" thickBot="1" x14ac:dyDescent="0.3">
      <c r="A26" s="21" t="s">
        <v>96</v>
      </c>
      <c r="B26" s="14">
        <v>4734720.0959999999</v>
      </c>
      <c r="C26" s="14">
        <v>674682.09600000002</v>
      </c>
      <c r="D26" s="14">
        <f t="shared" si="3"/>
        <v>5409402.1919999998</v>
      </c>
      <c r="E26" s="14">
        <v>608680.91200000001</v>
      </c>
      <c r="F26" s="14">
        <v>201265.52800000002</v>
      </c>
      <c r="G26" s="14">
        <f t="shared" si="4"/>
        <v>809946.44000000006</v>
      </c>
      <c r="H26" s="14">
        <v>8176300.29</v>
      </c>
      <c r="I26" s="14">
        <v>575825.96</v>
      </c>
      <c r="J26" s="20">
        <f t="shared" si="2"/>
        <v>14971474.881999999</v>
      </c>
      <c r="K26" s="54">
        <v>0</v>
      </c>
      <c r="L26" s="14">
        <v>274444.30773230823</v>
      </c>
      <c r="M26" s="14"/>
      <c r="N26" s="14"/>
      <c r="P26" s="14">
        <v>1177153.08</v>
      </c>
      <c r="Q26" s="14">
        <v>140403.8422811334</v>
      </c>
      <c r="R26" s="55">
        <v>0</v>
      </c>
      <c r="S26" s="14"/>
      <c r="U26" s="14">
        <v>66194.068942066035</v>
      </c>
      <c r="W26" s="18">
        <v>18041</v>
      </c>
      <c r="X26" s="18">
        <v>16889</v>
      </c>
      <c r="Y26" s="19">
        <v>24.400497365148908</v>
      </c>
      <c r="Z26" s="18">
        <v>2927</v>
      </c>
      <c r="AA26" s="19">
        <v>44.994875298940897</v>
      </c>
      <c r="AB26" s="18">
        <v>94432</v>
      </c>
      <c r="AD26" s="11">
        <v>0</v>
      </c>
      <c r="AF26" s="11">
        <v>18607318.912999999</v>
      </c>
      <c r="AG26" s="11"/>
      <c r="AH26" s="64">
        <v>11466630</v>
      </c>
      <c r="AJ26" s="85" t="s">
        <v>163</v>
      </c>
      <c r="AK26" s="86"/>
      <c r="AR26" s="17"/>
    </row>
    <row r="27" spans="1:44" ht="16.5" thickBot="1" x14ac:dyDescent="0.3">
      <c r="A27" s="21" t="s">
        <v>95</v>
      </c>
      <c r="B27" s="14">
        <v>3476552.3760000002</v>
      </c>
      <c r="C27" s="14">
        <v>455971.64800000004</v>
      </c>
      <c r="D27" s="14">
        <f t="shared" si="3"/>
        <v>3932524.0240000002</v>
      </c>
      <c r="E27" s="14">
        <v>386045.13599999994</v>
      </c>
      <c r="F27" s="14">
        <v>92983.784</v>
      </c>
      <c r="G27" s="14">
        <f t="shared" si="4"/>
        <v>479028.91999999993</v>
      </c>
      <c r="H27" s="14">
        <v>5290282.4000000004</v>
      </c>
      <c r="I27" s="14">
        <v>291055.06</v>
      </c>
      <c r="J27" s="20">
        <f t="shared" si="2"/>
        <v>9992890.4039999992</v>
      </c>
      <c r="K27" s="54">
        <v>0</v>
      </c>
      <c r="L27" s="14">
        <v>182436.80267111809</v>
      </c>
      <c r="M27" s="14"/>
      <c r="N27" s="14"/>
      <c r="P27" s="14">
        <v>782512.29</v>
      </c>
      <c r="Q27" s="14">
        <v>93809.697409305722</v>
      </c>
      <c r="R27" s="55">
        <v>0</v>
      </c>
      <c r="S27" s="14"/>
      <c r="U27" s="14">
        <v>41160.619951984001</v>
      </c>
      <c r="W27" s="18">
        <v>11914</v>
      </c>
      <c r="X27" s="18">
        <v>11626</v>
      </c>
      <c r="Y27" s="19">
        <v>21.546533631515558</v>
      </c>
      <c r="Z27" s="18">
        <v>1905</v>
      </c>
      <c r="AA27" s="19">
        <v>46.351706036745412</v>
      </c>
      <c r="AB27" s="18">
        <v>61100</v>
      </c>
      <c r="AD27" s="11">
        <v>0</v>
      </c>
      <c r="AF27" s="11">
        <v>8692538.4800000004</v>
      </c>
      <c r="AG27" s="11"/>
      <c r="AH27" s="64">
        <v>7338473</v>
      </c>
      <c r="AJ27" s="32" t="s">
        <v>164</v>
      </c>
      <c r="AK27" s="24" t="e">
        <f>VLOOKUP($AK$2,A4:AH30,34,)</f>
        <v>#REF!</v>
      </c>
      <c r="AR27" s="17"/>
    </row>
    <row r="28" spans="1:44" s="22" customFormat="1" ht="16.5" thickBot="1" x14ac:dyDescent="0.3">
      <c r="A28" s="21" t="s">
        <v>94</v>
      </c>
      <c r="B28" s="14">
        <v>435012.92799999996</v>
      </c>
      <c r="C28" s="14">
        <v>67014.960000000006</v>
      </c>
      <c r="D28" s="14">
        <f t="shared" si="3"/>
        <v>502027.88799999998</v>
      </c>
      <c r="E28" s="14">
        <v>38758.576000000001</v>
      </c>
      <c r="F28" s="14">
        <v>12640.256000000001</v>
      </c>
      <c r="G28" s="14">
        <f t="shared" si="4"/>
        <v>51398.832000000002</v>
      </c>
      <c r="H28" s="14">
        <v>585134.67000000004</v>
      </c>
      <c r="I28" s="14">
        <v>49948.9</v>
      </c>
      <c r="J28" s="20">
        <f t="shared" si="2"/>
        <v>1188510.29</v>
      </c>
      <c r="K28" s="54">
        <v>0</v>
      </c>
      <c r="L28" s="14">
        <v>21682.328047667306</v>
      </c>
      <c r="M28" s="14">
        <v>14440</v>
      </c>
      <c r="N28" s="14">
        <v>172875.39347385807</v>
      </c>
      <c r="O28" s="12"/>
      <c r="P28" s="14">
        <v>93000.36</v>
      </c>
      <c r="Q28" s="14">
        <v>11151.627473858112</v>
      </c>
      <c r="R28" s="55">
        <v>0</v>
      </c>
      <c r="S28" s="14">
        <v>8095.1841845333583</v>
      </c>
      <c r="T28" s="11"/>
      <c r="U28" s="14">
        <v>4426.7815768279997</v>
      </c>
      <c r="V28" s="11"/>
      <c r="W28" s="18">
        <v>1633</v>
      </c>
      <c r="X28" s="18">
        <v>1599</v>
      </c>
      <c r="Y28" s="19">
        <v>28.642901813633529</v>
      </c>
      <c r="Z28" s="18">
        <v>172</v>
      </c>
      <c r="AA28" s="19">
        <v>40.697674418604649</v>
      </c>
      <c r="AB28" s="18">
        <v>6758</v>
      </c>
      <c r="AC28" s="1"/>
      <c r="AD28" s="11">
        <v>0</v>
      </c>
      <c r="AE28" s="1"/>
      <c r="AF28" s="11">
        <v>778556.55</v>
      </c>
      <c r="AG28" s="11"/>
      <c r="AH28" s="64">
        <v>2338474</v>
      </c>
      <c r="AM28" s="3"/>
      <c r="AR28" s="17"/>
    </row>
    <row r="29" spans="1:44" ht="16.5" thickBot="1" x14ac:dyDescent="0.3">
      <c r="A29" s="21" t="s">
        <v>93</v>
      </c>
      <c r="B29" s="14">
        <v>17642934.056000002</v>
      </c>
      <c r="C29" s="14">
        <v>3147567.4000000004</v>
      </c>
      <c r="D29" s="14">
        <f t="shared" si="3"/>
        <v>20790501.456</v>
      </c>
      <c r="E29" s="14">
        <v>1729808.0079999999</v>
      </c>
      <c r="F29" s="14">
        <v>422009.97600000002</v>
      </c>
      <c r="G29" s="14">
        <f t="shared" si="4"/>
        <v>2151817.9840000002</v>
      </c>
      <c r="H29" s="14">
        <v>30198334.600000001</v>
      </c>
      <c r="I29" s="14">
        <v>1700500.93</v>
      </c>
      <c r="J29" s="20">
        <f t="shared" si="2"/>
        <v>54841154.969999999</v>
      </c>
      <c r="K29" s="54">
        <v>0</v>
      </c>
      <c r="L29" s="14">
        <v>997466.6695633902</v>
      </c>
      <c r="M29" s="14"/>
      <c r="N29" s="14"/>
      <c r="P29" s="14">
        <v>4278357.87</v>
      </c>
      <c r="Q29" s="14">
        <v>535085.82804265618</v>
      </c>
      <c r="R29" s="55">
        <v>0</v>
      </c>
      <c r="S29" s="14"/>
      <c r="U29" s="14">
        <v>194251.69917792606</v>
      </c>
      <c r="W29" s="18">
        <v>67388</v>
      </c>
      <c r="X29" s="18">
        <v>63009</v>
      </c>
      <c r="Y29" s="19">
        <v>25.999460394546816</v>
      </c>
      <c r="Z29" s="18">
        <v>8228</v>
      </c>
      <c r="AA29" s="19">
        <v>44.385026737967912</v>
      </c>
      <c r="AB29" s="18">
        <v>348775</v>
      </c>
      <c r="AD29" s="11">
        <v>0</v>
      </c>
      <c r="AF29" s="11">
        <v>38768808.050000004</v>
      </c>
      <c r="AG29" s="11"/>
      <c r="AH29" s="64">
        <v>46649132</v>
      </c>
      <c r="AR29" s="17"/>
    </row>
    <row r="30" spans="1:44" ht="16.5" thickBot="1" x14ac:dyDescent="0.3">
      <c r="A30" s="21" t="s">
        <v>92</v>
      </c>
      <c r="B30" s="14">
        <v>233109.96000000008</v>
      </c>
      <c r="C30" s="14">
        <v>33368.248</v>
      </c>
      <c r="D30" s="14">
        <f t="shared" si="3"/>
        <v>266478.2080000001</v>
      </c>
      <c r="E30" s="14">
        <v>29739.488000000001</v>
      </c>
      <c r="F30" s="14">
        <v>15518.023999999999</v>
      </c>
      <c r="G30" s="14">
        <f t="shared" si="4"/>
        <v>45257.512000000002</v>
      </c>
      <c r="H30" s="14">
        <v>478376.6</v>
      </c>
      <c r="I30" s="14">
        <v>44505.71</v>
      </c>
      <c r="J30" s="20">
        <f t="shared" si="2"/>
        <v>834618.03000000014</v>
      </c>
      <c r="K30" s="54">
        <v>0</v>
      </c>
      <c r="L30" s="14">
        <v>15389.346166549039</v>
      </c>
      <c r="M30" s="14">
        <v>12440</v>
      </c>
      <c r="N30" s="14">
        <v>435878.42532100301</v>
      </c>
      <c r="P30" s="14">
        <v>66008.350000000006</v>
      </c>
      <c r="Q30" s="14">
        <v>8007.9933210030576</v>
      </c>
      <c r="R30" s="55">
        <v>0</v>
      </c>
      <c r="S30" s="14">
        <v>5193.9456658119079</v>
      </c>
      <c r="U30" s="14">
        <v>3341.2706063620008</v>
      </c>
      <c r="W30" s="18">
        <v>873</v>
      </c>
      <c r="X30" s="18">
        <v>854</v>
      </c>
      <c r="Y30" s="19">
        <v>27.868852459016395</v>
      </c>
      <c r="Z30" s="18">
        <v>213</v>
      </c>
      <c r="AA30" s="19">
        <v>63.380281690140841</v>
      </c>
      <c r="AB30" s="18">
        <v>5525</v>
      </c>
      <c r="AD30" s="11">
        <v>0</v>
      </c>
      <c r="AF30" s="11">
        <v>863875.25</v>
      </c>
      <c r="AG30" s="11"/>
      <c r="AH30" s="64">
        <v>1607363</v>
      </c>
      <c r="AR30" s="17"/>
    </row>
    <row r="31" spans="1:44" x14ac:dyDescent="0.25">
      <c r="P31" s="16"/>
      <c r="Q31" s="16"/>
    </row>
    <row r="32" spans="1:44" x14ac:dyDescent="0.25">
      <c r="A32" s="15" t="s">
        <v>161</v>
      </c>
      <c r="B32" s="18">
        <v>2</v>
      </c>
      <c r="C32" s="18">
        <f>B32+1</f>
        <v>3</v>
      </c>
      <c r="D32" s="18">
        <f t="shared" ref="D32:AH32" si="5">C32+1</f>
        <v>4</v>
      </c>
      <c r="E32" s="18">
        <f t="shared" si="5"/>
        <v>5</v>
      </c>
      <c r="F32" s="18">
        <f t="shared" si="5"/>
        <v>6</v>
      </c>
      <c r="G32" s="18">
        <f t="shared" si="5"/>
        <v>7</v>
      </c>
      <c r="H32" s="18">
        <f t="shared" si="5"/>
        <v>8</v>
      </c>
      <c r="I32" s="18">
        <f t="shared" si="5"/>
        <v>9</v>
      </c>
      <c r="J32" s="18">
        <f t="shared" si="5"/>
        <v>10</v>
      </c>
      <c r="K32" s="18">
        <f t="shared" si="5"/>
        <v>11</v>
      </c>
      <c r="L32" s="18">
        <f t="shared" si="5"/>
        <v>12</v>
      </c>
      <c r="M32" s="18">
        <f t="shared" si="5"/>
        <v>13</v>
      </c>
      <c r="N32" s="18">
        <f t="shared" si="5"/>
        <v>14</v>
      </c>
      <c r="O32" s="18">
        <f t="shared" si="5"/>
        <v>15</v>
      </c>
      <c r="P32" s="18">
        <f t="shared" si="5"/>
        <v>16</v>
      </c>
      <c r="Q32" s="18">
        <f t="shared" si="5"/>
        <v>17</v>
      </c>
      <c r="R32" s="18">
        <f t="shared" si="5"/>
        <v>18</v>
      </c>
      <c r="S32" s="18">
        <f t="shared" si="5"/>
        <v>19</v>
      </c>
      <c r="T32" s="18">
        <f t="shared" si="5"/>
        <v>20</v>
      </c>
      <c r="U32" s="18">
        <f t="shared" si="5"/>
        <v>21</v>
      </c>
      <c r="V32" s="18">
        <f t="shared" si="5"/>
        <v>22</v>
      </c>
      <c r="W32" s="18">
        <f t="shared" si="5"/>
        <v>23</v>
      </c>
      <c r="X32" s="18">
        <f t="shared" si="5"/>
        <v>24</v>
      </c>
      <c r="Y32" s="18">
        <f t="shared" si="5"/>
        <v>25</v>
      </c>
      <c r="Z32" s="18">
        <f t="shared" si="5"/>
        <v>26</v>
      </c>
      <c r="AA32" s="18">
        <f t="shared" si="5"/>
        <v>27</v>
      </c>
      <c r="AB32" s="18">
        <f t="shared" si="5"/>
        <v>28</v>
      </c>
      <c r="AC32" s="18">
        <f t="shared" si="5"/>
        <v>29</v>
      </c>
      <c r="AD32" s="18">
        <f t="shared" si="5"/>
        <v>30</v>
      </c>
      <c r="AE32" s="18">
        <f t="shared" si="5"/>
        <v>31</v>
      </c>
      <c r="AF32" s="18">
        <f t="shared" si="5"/>
        <v>32</v>
      </c>
      <c r="AG32" s="18">
        <f t="shared" si="5"/>
        <v>33</v>
      </c>
      <c r="AH32" s="18">
        <f t="shared" si="5"/>
        <v>34</v>
      </c>
    </row>
    <row r="33" spans="16:17" hidden="1" x14ac:dyDescent="0.25">
      <c r="P33" s="61"/>
      <c r="Q33" s="61"/>
    </row>
    <row r="34" spans="16:17" hidden="1" x14ac:dyDescent="0.25">
      <c r="P34" s="61"/>
      <c r="Q34" s="61"/>
    </row>
    <row r="35" spans="16:17" hidden="1" x14ac:dyDescent="0.25">
      <c r="P35" s="61"/>
      <c r="Q35" s="61"/>
    </row>
    <row r="36" spans="16:17" hidden="1" x14ac:dyDescent="0.25">
      <c r="P36" s="61"/>
      <c r="Q36" s="61"/>
    </row>
  </sheetData>
  <mergeCells count="20">
    <mergeCell ref="AJ26:AK26"/>
    <mergeCell ref="H2:H3"/>
    <mergeCell ref="J2:J3"/>
    <mergeCell ref="L1:N2"/>
    <mergeCell ref="P1:Q2"/>
    <mergeCell ref="W1:AB1"/>
    <mergeCell ref="W2:Y2"/>
    <mergeCell ref="Z2:AA2"/>
    <mergeCell ref="S1:S2"/>
    <mergeCell ref="U1:U2"/>
    <mergeCell ref="AD2:AD3"/>
    <mergeCell ref="AF2:AF3"/>
    <mergeCell ref="AM2:AN2"/>
    <mergeCell ref="AJ18:AK18"/>
    <mergeCell ref="A1:A3"/>
    <mergeCell ref="B1:J1"/>
    <mergeCell ref="E2:G2"/>
    <mergeCell ref="B2:D2"/>
    <mergeCell ref="I2:I3"/>
    <mergeCell ref="AH2:AH3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Quadro Geral</vt:lpstr>
      <vt:lpstr>Validação de dados</vt:lpstr>
      <vt:lpstr>Diretrizes - Resumo</vt:lpstr>
      <vt:lpstr>'Quadro Geral'!Area_de_impressao</vt:lpstr>
    </vt:vector>
  </TitlesOfParts>
  <Manager>Luiz Antonio Poletto</Manager>
  <Company>CAU/BR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Programação 2022</dc:subject>
  <dc:creator>GERPLAN-CAU/BR</dc:creator>
  <cp:lastModifiedBy>Rodrigo Lopes</cp:lastModifiedBy>
  <cp:lastPrinted>2022-05-12T18:04:38Z</cp:lastPrinted>
  <dcterms:created xsi:type="dcterms:W3CDTF">2013-07-30T15:20:59Z</dcterms:created>
  <dcterms:modified xsi:type="dcterms:W3CDTF">2022-05-19T21:28:13Z</dcterms:modified>
</cp:coreProperties>
</file>