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20730" windowHeight="10455" tabRatio="860" activeTab="8"/>
  </bookViews>
  <sheets>
    <sheet name="Capa" sheetId="14" r:id="rId1"/>
    <sheet name="Dem Fontes e Usos" sheetId="2" r:id="rId2"/>
    <sheet name="2. Exec Plano de Ação" sheetId="5" state="hidden" r:id="rId3"/>
    <sheet name="3. Exec Orçamentária" sheetId="1" state="hidden" r:id="rId4"/>
    <sheet name="AnoXAno" sheetId="12" r:id="rId5"/>
    <sheet name="Exec Orçamentária" sheetId="9" r:id="rId6"/>
    <sheet name="Receita Mês X Mês" sheetId="15" r:id="rId7"/>
    <sheet name="Despesas Mês X Mês" sheetId="13" r:id="rId8"/>
    <sheet name="Receita X Despesa" sheetId="10" r:id="rId9"/>
    <sheet name="Limites Estratéicos" sheetId="16" r:id="rId10"/>
    <sheet name="DESPESAS MENSAIS C. MOV." sheetId="18" r:id="rId11"/>
  </sheets>
  <definedNames>
    <definedName name="_xlnm._FilterDatabase" localSheetId="3" hidden="1">'3. Exec Orçamentária'!$B$11:$M$33</definedName>
    <definedName name="_xlnm._FilterDatabase" localSheetId="5" hidden="1">'Exec Orçamentária'!$A$11:$H$29</definedName>
    <definedName name="_xlnm.Print_Area" localSheetId="1">'Dem Fontes e Usos'!$A$1:$G$40</definedName>
    <definedName name="_xlnm.Print_Area" localSheetId="10">'DESPESAS MENSAIS C. MOV.'!$A$1:$N$66</definedName>
    <definedName name="_xlnm.Print_Area" localSheetId="7">'Despesas Mês X Mês'!$A$1:$N$23</definedName>
    <definedName name="_xlnm.Print_Area" localSheetId="5">'Exec Orçamentária'!$A$1:$H$32</definedName>
    <definedName name="_xlnm.Print_Area" localSheetId="9">'Limites Estratéicos'!$A$1:$M$33</definedName>
    <definedName name="_xlnm.Print_Area" localSheetId="6">'Receita Mês X Mês'!$A$1:$N$23</definedName>
    <definedName name="_xlnm.Print_Area" localSheetId="8">'Receita X Despesa'!$A$1:$H$14</definedName>
  </definedNames>
  <calcPr calcId="144525"/>
</workbook>
</file>

<file path=xl/calcChain.xml><?xml version="1.0" encoding="utf-8"?>
<calcChain xmlns="http://schemas.openxmlformats.org/spreadsheetml/2006/main">
  <c r="D13" i="10" l="1"/>
  <c r="B12" i="10"/>
  <c r="G15" i="9"/>
  <c r="G16" i="9"/>
  <c r="J31" i="18" l="1"/>
  <c r="I37" i="18" l="1"/>
  <c r="I25" i="18"/>
  <c r="I48" i="18"/>
  <c r="I31" i="18"/>
  <c r="I13" i="18"/>
  <c r="I22" i="18"/>
  <c r="I8" i="18"/>
  <c r="I42" i="18"/>
  <c r="I16" i="15" l="1"/>
  <c r="D12" i="10" s="1"/>
  <c r="C18" i="2"/>
  <c r="F24" i="9" l="1"/>
  <c r="F23" i="9"/>
  <c r="F22" i="9"/>
  <c r="F21" i="9"/>
  <c r="F19" i="9"/>
  <c r="F18" i="9"/>
  <c r="F17" i="9"/>
  <c r="C32" i="2" l="1"/>
  <c r="H23" i="15" l="1"/>
  <c r="C18" i="12"/>
  <c r="H22" i="18" l="1"/>
  <c r="H40" i="18"/>
  <c r="H37" i="18"/>
  <c r="H25" i="18"/>
  <c r="H32" i="18" s="1"/>
  <c r="H36" i="18"/>
  <c r="H35" i="18" s="1"/>
  <c r="H31" i="18"/>
  <c r="I23" i="18"/>
  <c r="I53" i="18"/>
  <c r="H47" i="18" l="1"/>
  <c r="I47" i="18"/>
  <c r="J47" i="18"/>
  <c r="K47" i="18"/>
  <c r="L47" i="18"/>
  <c r="M47" i="18"/>
  <c r="G58" i="18" l="1"/>
  <c r="G25" i="18"/>
  <c r="G31" i="18"/>
  <c r="G22" i="18"/>
  <c r="G23" i="18"/>
  <c r="G48" i="18" l="1"/>
  <c r="G47" i="18" s="1"/>
  <c r="N7" i="18" l="1"/>
  <c r="N8" i="18"/>
  <c r="N12" i="18"/>
  <c r="N15" i="18"/>
  <c r="N20" i="18"/>
  <c r="N21" i="18"/>
  <c r="N23" i="18"/>
  <c r="N24" i="18"/>
  <c r="N30" i="18"/>
  <c r="N42" i="18"/>
  <c r="N41" i="18"/>
  <c r="N37" i="18"/>
  <c r="N39" i="18"/>
  <c r="N46" i="18"/>
  <c r="N49" i="18"/>
  <c r="N50" i="18"/>
  <c r="N51" i="18"/>
  <c r="N52" i="18"/>
  <c r="N55" i="18"/>
  <c r="N56" i="18"/>
  <c r="N62" i="18"/>
  <c r="D44" i="18"/>
  <c r="E44" i="18"/>
  <c r="G44" i="18"/>
  <c r="H44" i="18"/>
  <c r="H59" i="18" s="1"/>
  <c r="I44" i="18"/>
  <c r="J44" i="18"/>
  <c r="K44" i="18"/>
  <c r="L44" i="18"/>
  <c r="M44" i="18"/>
  <c r="B44" i="18"/>
  <c r="C35" i="18"/>
  <c r="F35" i="18"/>
  <c r="G35" i="18"/>
  <c r="I35" i="18"/>
  <c r="J35" i="18"/>
  <c r="K35" i="18"/>
  <c r="L35" i="18"/>
  <c r="M35" i="18"/>
  <c r="B40" i="18"/>
  <c r="C40" i="18"/>
  <c r="E40" i="18"/>
  <c r="F40" i="18"/>
  <c r="G40" i="18"/>
  <c r="I40" i="18"/>
  <c r="J40" i="18"/>
  <c r="K40" i="18"/>
  <c r="L40" i="18"/>
  <c r="M40" i="18"/>
  <c r="E38" i="18"/>
  <c r="E35" i="18" s="1"/>
  <c r="D38" i="18"/>
  <c r="D35" i="18" s="1"/>
  <c r="N36" i="18"/>
  <c r="B38" i="18"/>
  <c r="B35" i="18" s="1"/>
  <c r="G59" i="18" l="1"/>
  <c r="N38" i="18"/>
  <c r="N35" i="18" s="1"/>
  <c r="A6" i="16"/>
  <c r="A6" i="10"/>
  <c r="A6" i="13"/>
  <c r="A6" i="15"/>
  <c r="A6" i="9"/>
  <c r="A6" i="12"/>
  <c r="F13" i="18" l="1"/>
  <c r="N13" i="18" s="1"/>
  <c r="F18" i="18"/>
  <c r="N18" i="18" s="1"/>
  <c r="F48" i="18"/>
  <c r="F47" i="18" s="1"/>
  <c r="F45" i="18"/>
  <c r="F44" i="18" s="1"/>
  <c r="C45" i="18"/>
  <c r="E54" i="18"/>
  <c r="N54" i="18" s="1"/>
  <c r="D5" i="18"/>
  <c r="N5" i="18" s="1"/>
  <c r="E53" i="18"/>
  <c r="E47" i="18" s="1"/>
  <c r="E19" i="18"/>
  <c r="N19" i="18" s="1"/>
  <c r="C44" i="18" l="1"/>
  <c r="N45" i="18"/>
  <c r="N44" i="18" s="1"/>
  <c r="N53" i="18"/>
  <c r="F12" i="10"/>
  <c r="F21" i="12"/>
  <c r="D22" i="18"/>
  <c r="D29" i="18"/>
  <c r="N29" i="18" s="1"/>
  <c r="D27" i="18"/>
  <c r="N27" i="18" s="1"/>
  <c r="D26" i="18"/>
  <c r="N26" i="18" s="1"/>
  <c r="D28" i="18"/>
  <c r="N28" i="18" s="1"/>
  <c r="D43" i="18"/>
  <c r="D31" i="18"/>
  <c r="D11" i="18"/>
  <c r="N11" i="18" s="1"/>
  <c r="D25" i="18"/>
  <c r="D14" i="18"/>
  <c r="N14" i="18" s="1"/>
  <c r="D17" i="18"/>
  <c r="N17" i="18" s="1"/>
  <c r="D10" i="18"/>
  <c r="N10" i="18" s="1"/>
  <c r="D16" i="18"/>
  <c r="D6" i="18"/>
  <c r="N6" i="18" s="1"/>
  <c r="D4" i="18"/>
  <c r="D48" i="18"/>
  <c r="D47" i="18" s="1"/>
  <c r="D40" i="18" l="1"/>
  <c r="N43" i="18"/>
  <c r="N40" i="18" s="1"/>
  <c r="D32" i="18"/>
  <c r="B64" i="18" l="1"/>
  <c r="M64" i="18"/>
  <c r="L64" i="18"/>
  <c r="K64" i="18"/>
  <c r="J64" i="18"/>
  <c r="I64" i="18"/>
  <c r="H64" i="18"/>
  <c r="G64" i="18"/>
  <c r="F64" i="18"/>
  <c r="E64" i="18"/>
  <c r="D64" i="18"/>
  <c r="C64" i="18"/>
  <c r="N63" i="18"/>
  <c r="C48" i="18"/>
  <c r="C47" i="18" s="1"/>
  <c r="B48" i="18"/>
  <c r="B47" i="18" s="1"/>
  <c r="M32" i="18"/>
  <c r="L32" i="18"/>
  <c r="K32" i="18"/>
  <c r="J32" i="18"/>
  <c r="I32" i="18"/>
  <c r="G32" i="18"/>
  <c r="F32" i="18"/>
  <c r="E32" i="18"/>
  <c r="C31" i="18"/>
  <c r="N31" i="18" s="1"/>
  <c r="B25" i="18"/>
  <c r="N25" i="18" s="1"/>
  <c r="B22" i="18"/>
  <c r="N22" i="18" s="1"/>
  <c r="C16" i="18"/>
  <c r="N16" i="18" s="1"/>
  <c r="N4" i="18"/>
  <c r="N48" i="18" l="1"/>
  <c r="N47" i="18" s="1"/>
  <c r="N64" i="18"/>
  <c r="C32" i="18"/>
  <c r="B32" i="18"/>
  <c r="G66" i="18"/>
  <c r="A7" i="16"/>
  <c r="A8" i="16"/>
  <c r="A9" i="16"/>
  <c r="M13" i="16"/>
  <c r="D14" i="16"/>
  <c r="E14" i="16"/>
  <c r="M14" i="16"/>
  <c r="D21" i="16"/>
  <c r="E21" i="16"/>
  <c r="K21" i="16"/>
  <c r="L21" i="16"/>
  <c r="M21" i="16" s="1"/>
  <c r="D23" i="16"/>
  <c r="E23" i="16"/>
  <c r="K23" i="16"/>
  <c r="K24" i="16" s="1"/>
  <c r="L23" i="16"/>
  <c r="L24" i="16" s="1"/>
  <c r="D25" i="16"/>
  <c r="E25" i="16"/>
  <c r="F27" i="16"/>
  <c r="D29" i="16"/>
  <c r="E29" i="16"/>
  <c r="D31" i="16"/>
  <c r="E31" i="16"/>
  <c r="F25" i="16" l="1"/>
  <c r="M24" i="16"/>
  <c r="M23" i="16"/>
  <c r="F31" i="16"/>
  <c r="F23" i="16"/>
  <c r="F21" i="16"/>
  <c r="F14" i="16"/>
  <c r="F29" i="16"/>
  <c r="N32" i="18"/>
  <c r="A7" i="12"/>
  <c r="C23" i="15" l="1"/>
  <c r="F16" i="12"/>
  <c r="B23" i="15" l="1"/>
  <c r="N23" i="15" s="1"/>
  <c r="C38" i="2"/>
  <c r="B32" i="2"/>
  <c r="B37" i="2"/>
  <c r="D17" i="16" s="1"/>
  <c r="B36" i="2"/>
  <c r="D16" i="16" s="1"/>
  <c r="B38" i="2"/>
  <c r="B34" i="2"/>
  <c r="B31" i="2"/>
  <c r="C34" i="2"/>
  <c r="C31" i="2"/>
  <c r="N16" i="13" l="1"/>
  <c r="N23" i="13"/>
  <c r="D29" i="9" l="1"/>
  <c r="D27" i="9"/>
  <c r="N16" i="15"/>
  <c r="B18" i="12"/>
  <c r="F24" i="12"/>
  <c r="F23" i="12"/>
  <c r="F20" i="12"/>
  <c r="F17" i="12"/>
  <c r="E26" i="12"/>
  <c r="E20" i="12"/>
  <c r="E24" i="12"/>
  <c r="E23" i="12"/>
  <c r="E21" i="12"/>
  <c r="E18" i="12"/>
  <c r="E17" i="12"/>
  <c r="E16" i="12"/>
  <c r="F18" i="12"/>
  <c r="E16" i="9" l="1"/>
  <c r="H16" i="9"/>
  <c r="E15" i="9"/>
  <c r="H15" i="9"/>
  <c r="D31" i="9"/>
  <c r="G21" i="12"/>
  <c r="J22" i="15" l="1"/>
  <c r="I22" i="15"/>
  <c r="M22" i="15"/>
  <c r="M15" i="15"/>
  <c r="N15" i="15" s="1"/>
  <c r="L22" i="15"/>
  <c r="K22" i="15"/>
  <c r="L22" i="13"/>
  <c r="N15" i="13" l="1"/>
  <c r="F16" i="2"/>
  <c r="C22" i="2" l="1"/>
  <c r="D24" i="2"/>
  <c r="C37" i="2"/>
  <c r="E17" i="16" s="1"/>
  <c r="C36" i="2"/>
  <c r="E16" i="16" s="1"/>
  <c r="F16" i="16" s="1"/>
  <c r="A8" i="10"/>
  <c r="A9" i="10"/>
  <c r="A7" i="10"/>
  <c r="A7" i="13"/>
  <c r="A9" i="13"/>
  <c r="A8" i="13"/>
  <c r="A9" i="15"/>
  <c r="A8" i="15"/>
  <c r="A7" i="15"/>
  <c r="A9" i="9"/>
  <c r="A8" i="9"/>
  <c r="A7" i="9"/>
  <c r="A9" i="12"/>
  <c r="A8" i="12"/>
  <c r="F17" i="16" l="1"/>
  <c r="D23" i="12"/>
  <c r="C21" i="15" l="1"/>
  <c r="M20" i="15"/>
  <c r="K20" i="15"/>
  <c r="I20" i="15"/>
  <c r="H20" i="15"/>
  <c r="F20" i="15"/>
  <c r="E20" i="15"/>
  <c r="C20" i="15"/>
  <c r="N14" i="15"/>
  <c r="N13" i="15"/>
  <c r="N22" i="15" l="1"/>
  <c r="N21" i="15"/>
  <c r="N20" i="15"/>
  <c r="F19" i="12" l="1"/>
  <c r="E20" i="13" l="1"/>
  <c r="C20" i="13"/>
  <c r="K20" i="13"/>
  <c r="H22" i="13"/>
  <c r="G22" i="13"/>
  <c r="F22" i="13"/>
  <c r="E22" i="13"/>
  <c r="C22" i="13"/>
  <c r="B13" i="10" s="1"/>
  <c r="N21" i="13"/>
  <c r="N14" i="13"/>
  <c r="N13" i="13"/>
  <c r="N20" i="13" l="1"/>
  <c r="N22" i="13"/>
  <c r="H13" i="10"/>
  <c r="F25" i="12"/>
  <c r="C25" i="12"/>
  <c r="E15" i="12"/>
  <c r="E14" i="12" s="1"/>
  <c r="E25" i="12"/>
  <c r="E22" i="12"/>
  <c r="B25" i="12"/>
  <c r="B22" i="12"/>
  <c r="B15" i="12"/>
  <c r="B14" i="12" s="1"/>
  <c r="E13" i="12" l="1"/>
  <c r="E27" i="12" s="1"/>
  <c r="B13" i="12"/>
  <c r="B27" i="12" s="1"/>
  <c r="G26" i="12"/>
  <c r="D26" i="12"/>
  <c r="G25" i="12"/>
  <c r="D25" i="12"/>
  <c r="C22" i="12"/>
  <c r="D22" i="12" s="1"/>
  <c r="G20" i="12"/>
  <c r="H20" i="12"/>
  <c r="D20" i="12"/>
  <c r="H18" i="12"/>
  <c r="D18" i="12"/>
  <c r="G17" i="12"/>
  <c r="D17" i="12"/>
  <c r="G16" i="12"/>
  <c r="D16" i="12"/>
  <c r="C15" i="12"/>
  <c r="D15" i="12" s="1"/>
  <c r="C14" i="12" l="1"/>
  <c r="D14" i="12" s="1"/>
  <c r="G18" i="12"/>
  <c r="H16" i="12"/>
  <c r="H17" i="12"/>
  <c r="H23" i="12"/>
  <c r="C13" i="12" l="1"/>
  <c r="B15" i="2"/>
  <c r="B14" i="2" s="1"/>
  <c r="D13" i="16" s="1"/>
  <c r="D15" i="16" s="1"/>
  <c r="D18" i="16" s="1"/>
  <c r="D16" i="2"/>
  <c r="D17" i="2"/>
  <c r="F17" i="2"/>
  <c r="C15" i="2"/>
  <c r="F15" i="12" s="1"/>
  <c r="D18" i="2"/>
  <c r="F18" i="2"/>
  <c r="F19" i="2"/>
  <c r="D20" i="2"/>
  <c r="F20" i="2"/>
  <c r="D21" i="2"/>
  <c r="F21" i="2"/>
  <c r="B22" i="2"/>
  <c r="D23" i="2"/>
  <c r="F23" i="2"/>
  <c r="F24" i="2"/>
  <c r="B25" i="2"/>
  <c r="C25" i="2"/>
  <c r="D26" i="2"/>
  <c r="F26" i="2"/>
  <c r="F25" i="2" s="1"/>
  <c r="B30" i="2"/>
  <c r="B33" i="2"/>
  <c r="C33" i="2"/>
  <c r="D34" i="2"/>
  <c r="F34" i="2"/>
  <c r="F35" i="2"/>
  <c r="F36" i="2"/>
  <c r="D24" i="16" l="1"/>
  <c r="D22" i="16"/>
  <c r="D28" i="16"/>
  <c r="D30" i="16"/>
  <c r="D26" i="16"/>
  <c r="D32" i="16"/>
  <c r="B29" i="2"/>
  <c r="B39" i="2" s="1"/>
  <c r="F33" i="2"/>
  <c r="D33" i="2"/>
  <c r="D25" i="2"/>
  <c r="F22" i="2"/>
  <c r="D22" i="2"/>
  <c r="F22" i="12"/>
  <c r="B13" i="2"/>
  <c r="K15" i="16" s="1"/>
  <c r="K22" i="16" s="1"/>
  <c r="G15" i="12"/>
  <c r="H15" i="12"/>
  <c r="D13" i="12"/>
  <c r="H12" i="10"/>
  <c r="C27" i="12"/>
  <c r="F15" i="2"/>
  <c r="F14" i="2" s="1"/>
  <c r="F13" i="2" s="1"/>
  <c r="F27" i="2" s="1"/>
  <c r="C14" i="2"/>
  <c r="E13" i="16" s="1"/>
  <c r="D15" i="2"/>
  <c r="F13" i="16" l="1"/>
  <c r="E15" i="16"/>
  <c r="B27" i="2"/>
  <c r="F14" i="12"/>
  <c r="G14" i="12" s="1"/>
  <c r="H22" i="12"/>
  <c r="D27" i="12"/>
  <c r="C13" i="2"/>
  <c r="D14" i="2"/>
  <c r="F13" i="12" l="1"/>
  <c r="G13" i="12" s="1"/>
  <c r="L15" i="16"/>
  <c r="F15" i="16"/>
  <c r="E18" i="16"/>
  <c r="H14" i="12"/>
  <c r="D13" i="2"/>
  <c r="C27" i="2"/>
  <c r="E24" i="2" s="1"/>
  <c r="F27" i="12" l="1"/>
  <c r="G27" i="12" s="1"/>
  <c r="F18" i="16"/>
  <c r="E32" i="16"/>
  <c r="F32" i="16" s="1"/>
  <c r="E28" i="16"/>
  <c r="F28" i="16" s="1"/>
  <c r="E22" i="16"/>
  <c r="F22" i="16" s="1"/>
  <c r="E24" i="16"/>
  <c r="F24" i="16" s="1"/>
  <c r="E30" i="16"/>
  <c r="F30" i="16" s="1"/>
  <c r="E26" i="16"/>
  <c r="F26" i="16" s="1"/>
  <c r="L22" i="16"/>
  <c r="M22" i="16" s="1"/>
  <c r="M15" i="16"/>
  <c r="H13" i="12"/>
  <c r="E17" i="2"/>
  <c r="E18" i="2"/>
  <c r="E19" i="2"/>
  <c r="E21" i="2"/>
  <c r="E23" i="2"/>
  <c r="E26" i="2"/>
  <c r="E25" i="2" s="1"/>
  <c r="D27" i="2"/>
  <c r="E16" i="2"/>
  <c r="E20" i="2"/>
  <c r="H27" i="12" l="1"/>
  <c r="E15" i="2"/>
  <c r="E14" i="2" s="1"/>
  <c r="E22" i="2"/>
  <c r="E13" i="2" l="1"/>
  <c r="E27" i="2" s="1"/>
  <c r="B14" i="10"/>
  <c r="F32" i="2" l="1"/>
  <c r="D32" i="2"/>
  <c r="F29" i="9"/>
  <c r="G28" i="9"/>
  <c r="F27" i="9"/>
  <c r="G26" i="9"/>
  <c r="G25" i="9"/>
  <c r="G24" i="9"/>
  <c r="G23" i="9"/>
  <c r="G22" i="9"/>
  <c r="G21" i="9"/>
  <c r="G20" i="9"/>
  <c r="G19" i="9"/>
  <c r="G18" i="9"/>
  <c r="G17" i="9"/>
  <c r="G14" i="9"/>
  <c r="G13" i="9"/>
  <c r="G12" i="9"/>
  <c r="C30" i="2" l="1"/>
  <c r="D31" i="2"/>
  <c r="F31" i="2"/>
  <c r="F30" i="2" s="1"/>
  <c r="F29" i="2" s="1"/>
  <c r="F13" i="10"/>
  <c r="H29" i="9"/>
  <c r="E28" i="9"/>
  <c r="H28" i="9"/>
  <c r="F31" i="9"/>
  <c r="H27" i="9"/>
  <c r="E12" i="9"/>
  <c r="H13" i="9"/>
  <c r="H17" i="9"/>
  <c r="H20" i="9"/>
  <c r="H22" i="9"/>
  <c r="H24" i="9"/>
  <c r="H26" i="9"/>
  <c r="H12" i="9"/>
  <c r="H14" i="9"/>
  <c r="H18" i="9"/>
  <c r="H19" i="9"/>
  <c r="H21" i="9"/>
  <c r="H23" i="9"/>
  <c r="H25" i="9"/>
  <c r="E24" i="9"/>
  <c r="E20" i="9"/>
  <c r="E17" i="9"/>
  <c r="E13" i="9"/>
  <c r="E26" i="9"/>
  <c r="E22" i="9"/>
  <c r="E31" i="9"/>
  <c r="E27" i="9"/>
  <c r="E25" i="9"/>
  <c r="E23" i="9"/>
  <c r="E21" i="9"/>
  <c r="E19" i="9"/>
  <c r="E18" i="9"/>
  <c r="E14" i="9"/>
  <c r="E29" i="9"/>
  <c r="G27" i="9"/>
  <c r="G29" i="9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16" i="1"/>
  <c r="E17" i="1"/>
  <c r="E18" i="1"/>
  <c r="E19" i="1"/>
  <c r="E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4" i="1"/>
  <c r="B14" i="1"/>
  <c r="C29" i="2" l="1"/>
  <c r="D30" i="2"/>
  <c r="G31" i="9"/>
  <c r="H31" i="9"/>
  <c r="G32" i="1"/>
  <c r="C39" i="2" l="1"/>
  <c r="D29" i="2"/>
  <c r="I32" i="1"/>
  <c r="F32" i="1" l="1"/>
  <c r="F38" i="2" l="1"/>
  <c r="H27" i="1" l="1"/>
  <c r="J27" i="1" s="1"/>
  <c r="L27" i="1" s="1"/>
  <c r="H28" i="1"/>
  <c r="J28" i="1" s="1"/>
  <c r="H15" i="1"/>
  <c r="J15" i="1" s="1"/>
  <c r="L15" i="1" s="1"/>
  <c r="K15" i="1"/>
  <c r="H16" i="1"/>
  <c r="J16" i="1" s="1"/>
  <c r="L16" i="1" s="1"/>
  <c r="K16" i="1"/>
  <c r="H17" i="1"/>
  <c r="J17" i="1" s="1"/>
  <c r="L17" i="1" s="1"/>
  <c r="K17" i="1"/>
  <c r="H18" i="1"/>
  <c r="J18" i="1" s="1"/>
  <c r="L18" i="1" s="1"/>
  <c r="K18" i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K27" i="1"/>
  <c r="K28" i="1"/>
  <c r="H14" i="1"/>
  <c r="J14" i="1" s="1"/>
  <c r="L14" i="1" s="1"/>
  <c r="K14" i="1"/>
  <c r="L28" i="1" l="1"/>
  <c r="B8" i="1" l="1"/>
  <c r="K31" i="1"/>
  <c r="K30" i="1"/>
  <c r="K29" i="1"/>
  <c r="F37" i="2"/>
  <c r="H31" i="1"/>
  <c r="J31" i="1" s="1"/>
  <c r="H30" i="1"/>
  <c r="J30" i="1" s="1"/>
  <c r="H29" i="1"/>
  <c r="J29" i="1" s="1"/>
  <c r="E32" i="2" l="1"/>
  <c r="E34" i="2"/>
  <c r="E31" i="2"/>
  <c r="E35" i="2"/>
  <c r="E36" i="2"/>
  <c r="E37" i="2"/>
  <c r="J32" i="1"/>
  <c r="E30" i="2" l="1"/>
  <c r="E33" i="2"/>
  <c r="E38" i="2"/>
  <c r="D39" i="2"/>
  <c r="E29" i="2" l="1"/>
  <c r="B40" i="2"/>
  <c r="D14" i="10" l="1"/>
  <c r="C40" i="2"/>
  <c r="E39" i="2"/>
  <c r="F39" i="2"/>
  <c r="F40" i="2" s="1"/>
  <c r="K32" i="1"/>
  <c r="F14" i="10" l="1"/>
  <c r="H14" i="10"/>
  <c r="N59" i="18" l="1"/>
  <c r="N66" i="18" s="1"/>
  <c r="B59" i="18"/>
  <c r="B66" i="18" s="1"/>
  <c r="D59" i="18"/>
  <c r="D66" i="18" s="1"/>
  <c r="J59" i="18"/>
  <c r="J66" i="18" s="1"/>
  <c r="K59" i="18"/>
  <c r="K66" i="18" s="1"/>
  <c r="H66" i="18"/>
  <c r="E59" i="18"/>
  <c r="E66" i="18" s="1"/>
  <c r="I59" i="18"/>
  <c r="I66" i="18" s="1"/>
  <c r="F59" i="18"/>
  <c r="F66" i="18" s="1"/>
  <c r="C59" i="18"/>
  <c r="C66" i="18" s="1"/>
  <c r="M59" i="18"/>
  <c r="M66" i="18" s="1"/>
  <c r="L59" i="18"/>
  <c r="L66" i="18" s="1"/>
</calcChain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sz val="9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Convidado</author>
  </authors>
  <commentList>
    <comment ref="C13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3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R$ 3.879,02 • Acerto de Contas 2015 (TAQ e GVT) - 57ª Reunião Plenária Ordinária/18ª Reunião Plenária Ampliada do CAU/BR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Fundo de Apoio 
R$ </t>
        </r>
        <r>
          <rPr>
            <sz val="9"/>
            <color indexed="81"/>
            <rFont val="Tahoma"/>
            <family val="2"/>
          </rPr>
          <t>49.930,67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Fundo de Apoio - 
R$ 6.241,33
R$ 6.241,37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Fundo de Apoio - 
R$ 13.719,16</t>
        </r>
      </text>
    </comment>
    <comment ref="G16" authorId="1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 xml:space="preserve">Fundo de Apoio-
R$6859,58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20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da Sede R$ 520.000,00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33.120,00 -  Convénio IAB
Sou Arquiteto, e agora ?
Prêmio TFG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de equipamentos de SOM auditório - R$ 7.540,00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H21" authorId="0">
      <text>
        <r>
          <rPr>
            <b/>
            <sz val="12"/>
            <color indexed="81"/>
            <rFont val="Segoe UI"/>
            <family val="2"/>
          </rPr>
          <t xml:space="preserve">Despesas com Pessoal= A- B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Henrique</author>
    <author>admin</author>
    <author>hp_</author>
    <author>Convidado</author>
    <author>fernando.vieira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
Comp. 02/2017 - 6.494,33
Comp. 03/2017 - 6.494,33</t>
        </r>
      </text>
    </comment>
    <comment ref="D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02/2017 - 649,41
Comp. 03/2017 - 649,41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
Comp. 02/2017 - 2.990,33
Comp. 03/2017 - 2.990,33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07/2017
Comp. 08/2017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
Comp. 02/2017 - 231,88
Comp. 03/2017 - 231,88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
Comp. 02/2017 - 2.500,00
Comp. 03/2017 - 2.500,00</t>
        </r>
      </text>
    </comment>
    <comment ref="F1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03/2017
Comp. 04/2017
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07/2017
Comp. 08/2017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
Comp. 02/2017 - 3.504,60
Comp. 03/2017 - 3.504,60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
Comp. 01/2017 - 63,00
Comp. 02/2017 - 126,00
Comp. 03/2017 - 130,00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
Comp. 02/2017 - 814,96
Comp. 03/2017 - 883,72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
Comp. 02/2017 - 21.867,65
Comp. 03/2017 - 23.691,08</t>
        </r>
      </text>
    </comment>
    <comment ref="C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NORLAN DOWELL VALE DE BRITO, transferência entre contas N.º , recibo de férias. Referente as férias do funcionário no período de 06/02 a 25/02/2017.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JOSE RODRIGO LOPES PEDRO, transferência entre contas N.º , recibo de férias. Referente as férias do funcionário no período de 31/03 a 19/04/2017.
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THYAGO ARON TORRES SANTOS, transferência entre contas N.º , recibo N.º de férias. Referente as férias do funcionário no período de 22/05 a 10/06/2017.
</t>
        </r>
      </text>
    </comment>
    <comment ref="G23" authorId="2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PEDRO DIOGO PEIXOTO DANTAS, transferência entre contas N.º , recibo N.º de férias. Referente as férias do funcionário no período de 05 a 24/06/2017.
MANOEL BUARQUE FILHO, transferência entre contas N.º , recibo N.º de férias. Referente as férias do funcionário no período de 03/07 a 01/08/2017.</t>
        </r>
      </text>
    </comment>
    <comment ref="I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LUIZ ALBERTO MEDEIROS DE SÁ, transferência entre contas N.º , recibo N.º de férias. Referente as férias do funcionário no período de 21/08 a 19/09/2017.
THYAGO ARON TORRES SANTOS, transferência entre contas N.º , recibo N.º de férias. Referente as férias do funcionário no período de 21/08 a 30/08/2017.</t>
        </r>
      </text>
    </comment>
    <comment ref="D25" authorId="0">
      <text>
        <r>
          <rPr>
            <sz val="9"/>
            <color indexed="81"/>
            <rFont val="Tahoma"/>
            <family val="2"/>
          </rPr>
          <t xml:space="preserve">
Comp. 02/2017 - 1.600,00
Comp. 03/2017 - 1.600,00</t>
        </r>
      </text>
    </comment>
    <comment ref="G25" authorId="3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Referente a bolsa da estagiária Silene Mayara Nunes da Silva da comp. 05/2017.</t>
        </r>
      </text>
    </comment>
    <comment ref="D26" authorId="0">
      <text>
        <r>
          <rPr>
            <sz val="9"/>
            <color indexed="81"/>
            <rFont val="Tahoma"/>
            <family val="2"/>
          </rPr>
          <t xml:space="preserve">
Comp. 02/2017 - 9.947,43
Comp. 03/2017 - 9.627,66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
Comp. 02/2017 - 2.584,02
Comp. 03/2017 - 2.462,20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
Comp. 02/2017 - 323,00
Comp. 03/2017 - 307,78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
Comp. 02/2017 - 2.756,74
Comp. 03/2017 - 3.166,46</t>
        </r>
      </text>
    </comment>
    <comment ref="B30" authorId="4">
      <text>
        <r>
          <rPr>
            <sz val="9"/>
            <color indexed="81"/>
            <rFont val="Tahoma"/>
            <family val="2"/>
          </rPr>
          <t xml:space="preserve">
Devolvido no dia 31/01/2017 o valor de R$ 172,40.
</t>
        </r>
      </text>
    </comment>
    <comment ref="C30" authorId="4">
      <text>
        <r>
          <rPr>
            <sz val="9"/>
            <color indexed="81"/>
            <rFont val="Tahoma"/>
            <family val="2"/>
          </rPr>
          <t xml:space="preserve">
Devolvido no dia 07/03/2017 o valor de R$ 66,38.
</t>
        </r>
      </text>
    </comment>
    <comment ref="C36" authorId="1">
      <text>
        <r>
          <rPr>
            <sz val="9"/>
            <color indexed="81"/>
            <rFont val="Tahoma"/>
            <family val="2"/>
          </rPr>
          <t>1-Pago a TÂNIA MARIA MARINHO DE GUSMÃO, liquidação 49 do empenho 47, transferência entre contas , processo 480247/2017. Referente a 01 (uma) diária para a presidente participar da 24ª Reunião do Fórum de Presidentes e 20ª Reunião Plenária Ampliada do CAU/BR a ser realizada nos dias 16 e 17 de fevereiro de 2017 de em Brasília/DF.Saída: 15/02/2017Retorno: 17/02/2017</t>
        </r>
      </text>
    </comment>
    <comment ref="D36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RICARDO VICTOR RODRIGUES BARBOSA, liquidação 146 do empenho 60, transferência entre contas , processo 498415/2017. Referente a 4,5 (quatro e meia) meias diárias para o conselheiros participar das 53ª e 54ª Sessões Plenárias Ordinárias, 1ª e 2ª Reuniões da Comissão de Exercício Profissional  e 2ª Reunião Comissão de Ensino e Formação, realizadas na sede deste regional conforme processo.</t>
        </r>
      </text>
    </comment>
    <comment ref="F36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RICARDO VICTOR RODRIGUES BARBOSA, liquidação 249 do empenho 87, transferência entre contas , processo 520100/2017. Referente a 04 (quatro) meias diárias para o conselheiros participar da 56ª Sessão Plenária Ordinária, 3ª e 4ª Reuniões da Comissão de Exercício Profissional  e 4ª Reunião Comissão de Ensino e Formação, realizadas na sede deste regional conforme processo.</t>
        </r>
      </text>
    </comment>
    <comment ref="E37" authorId="1">
      <text>
        <r>
          <rPr>
            <sz val="9"/>
            <color indexed="81"/>
            <rFont val="Tahoma"/>
            <family val="2"/>
          </rPr>
          <t>Pago a JOSE RODRIGO LOPES PEDRO, liquidação 174 do empenho 69, transferência entre contas , processo 507320/2017. Referente a 04 (quatro) diárias e 01 (um) deslocamento para o gerente administrativo/financeiro participar do 2º Seminário de Planejamento, Orçamento, Finanças, Procedimentos Administrativos do CAU e Gespública, a ser realizado no Rio de Janeiro/RJ, no período de 18 a 20 de abril de 2017.</t>
        </r>
      </text>
    </comment>
    <comment ref="F37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LUIZ ALBERTO MEDEIROS DE SÁ, liquidação 238 do empenho 81, transferência entre contas , processo 519413/2017. Referente a 01 (uma) diária e 01 (um) deslocamento para o assessor especial, participar do III Seminário de Integração do CAU ? Ensino em Foco e do Encontro das Comissões de Ensino e Formação dos CAUs/UF, que será realizado nos dias 11 e 12 de maio de 2017, em São Paulo/SP.</t>
        </r>
      </text>
    </comment>
    <comment ref="G37" authorId="1">
      <text>
        <r>
          <rPr>
            <sz val="9"/>
            <color indexed="81"/>
            <rFont val="Tahoma"/>
            <family val="2"/>
          </rPr>
          <t>PEDRO DIOGO PEIXOTO 
DANTAS, referente a 03 (três) diárias e 01
(um) aux. Transporte para o analista de fiscalização, participar do treinamento das
assessorias técnicas da CEN a ser realizado nos dias 29 e 30 de junho de 2017, em
Brasília/DF.Saída: 28/06/2017Retorno: 30/06/2017</t>
        </r>
      </text>
    </comment>
    <comment ref="B38" authorId="1">
      <text>
        <r>
          <rPr>
            <sz val="9"/>
            <color indexed="81"/>
            <rFont val="Tahoma"/>
            <family val="2"/>
          </rPr>
          <t>1-Pago a PEDRO DIOGO PEIXOTO DANTAS, liquidação 3 do empenho 39, transferência entre contas , processo 464787/2017. Referente a 03 (três) diárias para o analista de fiscalização realizar visita mensal de fiscalização na cidade de Arapiraca/AL.Saída: 17/01/2017.Retorno: 20/01/2017.
2-Pago a NORLAN DOWELL VALE DE BRITO, liquidação 5 do empenho 41, transferência entre contas , processo 465423/2017. Referente a 03 (três) diárias para o gerente geral realizar capacitação sobre a tabela de honorários para 02 (duas) turmas na cidade de Arapiraca/AL.Saída: 17/01/2017.Retorno: 20/01/2017.</t>
        </r>
      </text>
    </comment>
    <comment ref="C38" authorId="1">
      <text>
        <r>
          <rPr>
            <sz val="9"/>
            <color indexed="81"/>
            <rFont val="Tahoma"/>
            <family val="2"/>
          </rPr>
          <t>Pago a PEDRO DIOGO PEIXOTO DANTAS, liquidação 57 do empenho 49, débito em c/c , processo 481549/2017. Referente a 03 (três) diárias para o analista de fiscalização realizar visita mensal de fiscalização na cidade de Arapiraca/AL.Saída: 20/02/2017.Retorno: 23/02/2017.</t>
        </r>
      </text>
    </comment>
    <comment ref="D38" authorId="1">
      <text>
        <r>
          <rPr>
            <sz val="9"/>
            <color indexed="81"/>
            <rFont val="Tahoma"/>
            <family val="2"/>
          </rPr>
          <t xml:space="preserve">1-Pago a PEDRO DIOGO PEIXOTO DANTAS, liquidação 124 do empenho 55, transferência entre contas , processo 490649/2017. Referente a 03 (três) diárias para o analista de fiscalização realizar visita mensal de fiscalização em diversos municípios do estado.Saída: 14/03/2017.Retorno: 17/03/2017.
2-Pago a PEDRO DIOGO PEIXOTO DANTAS, liquidação 157 do empenho 64, transferência entre contas , processo 502243/2017. Eeferente a 04 (quatro) diárias para o analista de fiscalização realizar visita mensal de fiscalização em diversos municípios do estado.Saída: 03/04/2017.Retorno: 07/04/2017.
3-Pago a NORLAN DOWELL VALE DE BRITO, liquidação 158 do empenho 65, transferência entre contas , processo 502243/2017. Referente a 04 (quatro) diárias para o diretor geral realizar visita mensal de fiscalização em diversos municípios do estado.Saída: 03/04/2017.Retorno: 07/04/2017.
</t>
        </r>
      </text>
    </comment>
    <comment ref="E38" authorId="1">
      <text>
        <r>
          <rPr>
            <sz val="9"/>
            <color indexed="81"/>
            <rFont val="Tahoma"/>
            <family val="2"/>
          </rPr>
          <t xml:space="preserve">1-Pago a NORLAN DOWELL VALE DE BRITO, liquidação 197 do empenho 74, transferência entre contas , processo 513737/2017. Referente a 03 (três) diárias para o gerente geral participar de eventos nas cidades de Penedo/AL e Arapiraca/AL, bem como realizar apuração de denuncias.Saída: 25/04/2017.Retorno: 28/04/2017.
2-Pago a PEDRO DIOGO PEIXOTO DANTAS, liquidação 196 do empenho 73, transferência entre contas , processo 513757/2017. Referente a 03 (três) diárias para o analista de fiscalização participar de eventos nas cidades de Penedo/AL e Arapiraca/AL, bem como realizar apuração de denuncias.Saída: 25/04/2017.Retorno: 28/04/2017.
</t>
        </r>
      </text>
    </comment>
    <comment ref="F38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PEDRO DIOGO PEIXOTO DANTAS, liquidação 300 do empenho 88, transferência entre contas , processo 520063/2017. Referente a 03 (três) diárias para o analista de fiscalização realizar visita mensal de fiscalização na cidade de Arapiraca/AL.</t>
        </r>
      </text>
    </comment>
    <comment ref="C39" authorId="1">
      <text>
        <r>
          <rPr>
            <sz val="9"/>
            <color indexed="81"/>
            <rFont val="Tahoma"/>
            <family val="2"/>
          </rPr>
          <t>Pago a JOSÉ DE BARROS LIMA NETO, liquidação 51 do empenho 50, transferência entre contas , processo 480247/2017. Referente a 02 (duas) diárias e 01 (um) deslocamento para o assessor jurídico participar da 24ª Reunião do Fórum de Presidentes e 20ª Reunião Plenária Ampliada do CAU/BR a ser realizada nos dias 15, 16 e 17 de fevereiro de 2017 de em Brasília/DF.Saída: 15/02/2017Retorno: 17/02/2017</t>
        </r>
      </text>
    </comment>
    <comment ref="B41" authorId="1">
      <text>
        <r>
          <rPr>
            <sz val="9"/>
            <color indexed="81"/>
            <rFont val="Tahoma"/>
            <family val="2"/>
          </rPr>
          <t>Tania Gusmão 
MCZ-GRU
Reunião Forum de Presidentes em São Paulo entre os dias 20 e 21 de Janeiro 2017</t>
        </r>
      </text>
    </comment>
    <comment ref="E4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Referente as passagens aéreas de ida e volta para o gerente administrativo/financeiro Sr. José Rodrigo Lopes Pedro, participar do 2º Seminário de Planejamento, Orçamento, Finanças, Procedimentos Administrativos do CAU e Gespública, a ser realizado no Rio de Janeiro/RJ, no período de 18 a 20 de abril de 2017.</t>
        </r>
      </text>
    </comment>
    <comment ref="F4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passagens aéreas para o assessor especial Sr. Luiz Alberto Medeiros de SÁ, participar do III Seminário de Integração do CAU ? Ensino em Foco e do Encontro das Comissões de Ensino e Formação dos CAUs/UF, que será realizado nos dias 11 e 12 de maio de 2017, em São Paulo/SP.</t>
        </r>
      </text>
    </comment>
    <comment ref="C43" authorId="1">
      <text>
        <r>
          <rPr>
            <sz val="9"/>
            <color indexed="81"/>
            <rFont val="Tahoma"/>
            <family val="2"/>
          </rPr>
          <t>Esaú Mendes
MCZ-BSB
Facilitador Gespublica
Oficina GESPUBLICA entre os dias 29 a 31 de Março 2017</t>
        </r>
      </text>
    </comment>
    <comment ref="D43" authorId="1">
      <text>
        <r>
          <rPr>
            <sz val="9"/>
            <color indexed="81"/>
            <rFont val="Tahoma"/>
            <family val="2"/>
          </rPr>
          <t xml:space="preserve">José Neto
Assessor Juridico do CAU/AL
MCZ-BSB
Forum de Presidentes e Reunião Plenária Ampliada
entre os dias 15 a 17 Fevereiro 2017
</t>
        </r>
      </text>
    </comment>
    <comment ref="C4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CREUZA MARIA LIPPO LAGES - R$ 137,44
RITA DE CASSIA SOARES DE MELO - R$ 157,32</t>
        </r>
      </text>
    </comment>
    <comment ref="E4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FLÁVIA LIMA BRANDÃO</t>
        </r>
      </text>
    </comment>
    <comment ref="F4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SUELY LIMA MORAIS - R$ 95,97
 ANTONIO RUBENS RIBEIRO DOS ANJOS JUNIOR - R$ 
122,61</t>
        </r>
      </text>
    </comment>
    <comment ref="D50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Valor retido dos funcionários na folha de 03/2017</t>
        </r>
      </text>
    </comment>
  </commentList>
</comments>
</file>

<file path=xl/sharedStrings.xml><?xml version="1.0" encoding="utf-8"?>
<sst xmlns="http://schemas.openxmlformats.org/spreadsheetml/2006/main" count="487" uniqueCount="244">
  <si>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</si>
  <si>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</si>
  <si>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</si>
  <si>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</si>
  <si>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</si>
  <si>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</si>
  <si>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</si>
  <si>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</si>
  <si>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</si>
  <si>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</si>
  <si>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</si>
  <si>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</si>
  <si>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</si>
  <si>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</si>
  <si>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</si>
  <si>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</si>
  <si>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</si>
  <si>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</si>
  <si>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</si>
  <si>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</si>
  <si>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</si>
  <si>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</si>
  <si>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</si>
  <si>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</si>
  <si>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</si>
  <si>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</si>
  <si>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</si>
  <si>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</si>
  <si>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</si>
  <si>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</si>
  <si>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</si>
  <si>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</si>
  <si>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</si>
  <si>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</si>
  <si>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</si>
  <si>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</si>
  <si>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</si>
  <si>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</si>
  <si>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</si>
  <si>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</si>
  <si>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</si>
  <si>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Justificativas e/ou medidas de gestão adotadas para o alcance dos resultados previstos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</si>
  <si>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</si>
  <si>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</si>
  <si>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</si>
  <si>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</si>
  <si>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</si>
  <si>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</si>
  <si>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</si>
  <si>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</si>
  <si>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</si>
  <si>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</si>
  <si>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</si>
  <si>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</si>
  <si>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</si>
  <si>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</si>
  <si>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</si>
  <si>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</si>
  <si>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</si>
  <si>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</si>
  <si>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</si>
  <si>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</si>
  <si>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</si>
  <si>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</si>
  <si>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</si>
  <si>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</si>
  <si>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</si>
  <si>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</si>
  <si>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</si>
  <si>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Presidência</t>
  </si>
  <si>
    <t>Caravana CAU</t>
  </si>
  <si>
    <t>Cauniversitário</t>
  </si>
  <si>
    <t>Ações de suprimento a demanda de deslocamento de pessoal</t>
  </si>
  <si>
    <t>Capacitação</t>
  </si>
  <si>
    <t>Comunicação - plano de mídia</t>
  </si>
  <si>
    <t>Patrocínio</t>
  </si>
  <si>
    <t>Fiscalização sistemática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</si>
  <si>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</si>
  <si>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</si>
  <si>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</si>
  <si>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</si>
  <si>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TOTAL DESPESAS CORRENTES</t>
  </si>
  <si>
    <t>TOTAL DESPESAS DE CAPITAL</t>
  </si>
  <si>
    <t>TOTAL DAS DESPESAS</t>
  </si>
  <si>
    <t>% de Partic. sobre o realizado
(d)</t>
  </si>
  <si>
    <t>% de Partic. sobre o Prog. Total
(d)</t>
  </si>
  <si>
    <t>Período: Jan. a Jun./2015</t>
  </si>
  <si>
    <t>EXECUÇÃO DO PLANO DE AÇÃO E ORÇAMENTO - EXERCÍCIO 2016</t>
  </si>
  <si>
    <t>sou arquiteto, e agora?</t>
  </si>
  <si>
    <t>Dia do Arquiteto
(Prêmio TFG)</t>
  </si>
  <si>
    <t>Residência Técnica</t>
  </si>
  <si>
    <t>Programa de Formação continuada</t>
  </si>
  <si>
    <t>Atendimento</t>
  </si>
  <si>
    <t>Manutenção das rotinas administrativas do CAU/AL</t>
  </si>
  <si>
    <t>Planejameno e redesenho dos processos do CAU/AL</t>
  </si>
  <si>
    <t>Comissão de Administração e Finanças - CAF</t>
  </si>
  <si>
    <t>Período: Jan. a Mar/2016</t>
  </si>
  <si>
    <t>Variação
(valores em reais)</t>
  </si>
  <si>
    <t>%</t>
  </si>
  <si>
    <t>Orçamento 
Aprovado 2016</t>
  </si>
  <si>
    <t>%
Part.</t>
  </si>
  <si>
    <t>%
Execução Total</t>
  </si>
  <si>
    <t>Saldo a Executar
Total</t>
  </si>
  <si>
    <t>Variação
(%)</t>
  </si>
  <si>
    <t>JAN</t>
  </si>
  <si>
    <t>FEV</t>
  </si>
  <si>
    <t>MAR</t>
  </si>
  <si>
    <t>ABR</t>
  </si>
  <si>
    <t>MAI</t>
  </si>
  <si>
    <t>JUN</t>
  </si>
  <si>
    <t>JUL</t>
  </si>
  <si>
    <t>ANO</t>
  </si>
  <si>
    <t>AGO</t>
  </si>
  <si>
    <t>SET</t>
  </si>
  <si>
    <t>OUT</t>
  </si>
  <si>
    <t>NOV</t>
  </si>
  <si>
    <t>DEZ</t>
  </si>
  <si>
    <t xml:space="preserve">1. DEMONSTRATIVO DE USOS E FONTES </t>
  </si>
  <si>
    <t>1.3. DEMONSTRATIVO DA EXECUÇÃO ORÇAMENTÁRIA POR PROJETO E ATIVIDADE</t>
  </si>
  <si>
    <t>*P/A - P = Projeto / A = Atividade</t>
  </si>
  <si>
    <t>*P/A</t>
  </si>
  <si>
    <t>Receita Corrente (+)</t>
  </si>
  <si>
    <t>Despesa Corrente (-)</t>
  </si>
  <si>
    <t>TOTAL
(Receita - Despesa)</t>
  </si>
  <si>
    <t>1.5. DEMONSTRATIVO DA EXECUÇÃO DA DESPESA MÊS X MÊS</t>
  </si>
  <si>
    <t>1.6. DEMONSTRATIVO DA DISPONIBILIZADE FINANCEIRA</t>
  </si>
  <si>
    <t>1.4. DEMONSTRATIVO DA EXECUÇÃO DA RECEITA MÊS X MÊS</t>
  </si>
  <si>
    <t>% de Partic. sobre a Progr. Total
(b)</t>
  </si>
  <si>
    <t>Total Realizado
(c)</t>
  </si>
  <si>
    <t>Valor aprovado
(a)</t>
  </si>
  <si>
    <t>BASE DE CÁLCULO</t>
  </si>
  <si>
    <t>APLICAÇÕES DE RECURSOS</t>
  </si>
  <si>
    <t>Valor Aprovado (R$)</t>
  </si>
  <si>
    <t xml:space="preserve">Valor Executado  (R$)             </t>
  </si>
  <si>
    <t>Execução (%)</t>
  </si>
  <si>
    <t xml:space="preserve">FOLHA DE PAGAMENTO </t>
  </si>
  <si>
    <t xml:space="preserve">Valor Executado (R$)                      </t>
  </si>
  <si>
    <t>1. Receita de Arrecadação</t>
  </si>
  <si>
    <t>A. Salários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</si>
  <si>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</si>
  <si>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</si>
  <si>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</si>
  <si>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</si>
  <si>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</si>
  <si>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</si>
  <si>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</si>
  <si>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</si>
  <si>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</si>
  <si>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 xml:space="preserve">Aprovado </t>
  </si>
  <si>
    <t xml:space="preserve">Executado             </t>
  </si>
  <si>
    <t>Aprovado</t>
  </si>
  <si>
    <t xml:space="preserve">Executado                       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</si>
  <si>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</si>
  <si>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</si>
  <si>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</si>
  <si>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</si>
  <si>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</si>
  <si>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</si>
  <si>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</si>
  <si>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</si>
  <si>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Reserva de contingência</t>
  </si>
  <si>
    <t>1.7. LIMITES DE APLICAÇÃO DOS RECURSOS ESTRATÉGICOS:</t>
  </si>
  <si>
    <t>Gasto Mensal de todos os centros de custo - fase Pagamento</t>
  </si>
  <si>
    <r>
      <t xml:space="preserve"> Despesas com Pessoal </t>
    </r>
    <r>
      <rPr>
        <b/>
        <sz val="10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</si>
  <si>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 xml:space="preserve">(mínimo de 2%  e máximo de 4%  do valor total das respectivas folhas de pagamento -salários, encargos e benefícios)            </t>
    </r>
    <r>
      <rPr>
        <b/>
        <sz val="12"/>
        <color indexed="57"/>
        <rFont val="Calibri"/>
        <family val="2"/>
      </rPr>
      <t xml:space="preserve">      </t>
    </r>
  </si>
  <si>
    <t>Gasto Mensal de todos os centros de custo - fase Pagamento - Sem reforma sede (compra de equipametos)</t>
  </si>
  <si>
    <t>Receita mensal - Janeiro a Dezembro</t>
  </si>
  <si>
    <t>Receita mensal - Janeiro a Dezembro - Sem aporte CAU/BR (Fundo de apoio)</t>
  </si>
  <si>
    <t>DESPESAS FIXAS</t>
  </si>
  <si>
    <t>SR LOCADORA (ALUGUEL CARRO)</t>
  </si>
  <si>
    <t>LESSA E MOURA (CONTABILIDADE)</t>
  </si>
  <si>
    <t>OFICIAL TERCEIRIZAÇÃO (LIMPEZA)</t>
  </si>
  <si>
    <t>CIEE (INTERMEDIAÇÃO DE ESTAGIÁRIOS)</t>
  </si>
  <si>
    <t>CLARO (TELEFONE MÓVEL)</t>
  </si>
  <si>
    <t>ELETROBRAS (NORCON )</t>
  </si>
  <si>
    <t>CENTRO SERV. COMP. - CSC</t>
  </si>
  <si>
    <t>FUNDO DE APOIO</t>
  </si>
  <si>
    <t>CORREIOS (CORRESPONDÊNCIA)</t>
  </si>
  <si>
    <t>DARF (CORREIOS)</t>
  </si>
  <si>
    <t>FOLHA DE PESSOAL</t>
  </si>
  <si>
    <t>13º SALÁRIO</t>
  </si>
  <si>
    <t>ESTAGIÁRIO</t>
  </si>
  <si>
    <t>INSS</t>
  </si>
  <si>
    <t>FGTS</t>
  </si>
  <si>
    <t>PIS</t>
  </si>
  <si>
    <t>IRRF</t>
  </si>
  <si>
    <t>M A DOS ANJOS (LOCAÇÃO IMPRESSORAS)</t>
  </si>
  <si>
    <t>BANCO DO BRASIL S/A (TAXAS BANCÁRIAS)</t>
  </si>
  <si>
    <t>SUPRIMENTOS DE FUNDOS</t>
  </si>
  <si>
    <t>CAROLINE OLIVEIRA (ESTACIONAMENTO)</t>
  </si>
  <si>
    <t>VIVO (TELEFONE E INTERNET)</t>
  </si>
  <si>
    <t>CARMEN BEATRIZ (ASSESSORIA DE IMPRESA)</t>
  </si>
  <si>
    <t>TOTAL DA DESPESAS FIXAS:</t>
  </si>
  <si>
    <t>DESPESAS VARIÁVEIS</t>
  </si>
  <si>
    <t>TOTAL DESPESAS VARIÁVEIS:</t>
  </si>
  <si>
    <t>DESPESAS DE CAPITAL</t>
  </si>
  <si>
    <t>TOTAL DESPESAS DE CAPITAL:</t>
  </si>
  <si>
    <t>TOTAL GERAL:</t>
  </si>
  <si>
    <t>Relatório Mensal – Exercício 2017</t>
  </si>
  <si>
    <t>Orçamento Aprovado
2017</t>
  </si>
  <si>
    <t>Realizado
2017</t>
  </si>
  <si>
    <t>Orçamento 
Aprovado 2017</t>
  </si>
  <si>
    <t xml:space="preserve"> </t>
  </si>
  <si>
    <t>2017</t>
  </si>
  <si>
    <t>Assistência Técnica em Habitação de Interesse Social - ATHIS</t>
  </si>
  <si>
    <t>1.2. Comparativo exercício anterior x atual (2016 x 2017)</t>
  </si>
  <si>
    <t>% 
Ano/
Ano</t>
  </si>
  <si>
    <r>
      <t xml:space="preserve">Justificativas
</t>
    </r>
    <r>
      <rPr>
        <b/>
        <sz val="8"/>
        <color theme="1"/>
        <rFont val="Calibri"/>
        <family val="2"/>
        <scheme val="minor"/>
      </rPr>
      <t>(quando o % de realização for inferior ou superior a 20%)</t>
    </r>
  </si>
  <si>
    <t>ALVES E BARROS (JURÍDICO)</t>
  </si>
  <si>
    <t xml:space="preserve">CONDOMÍNIO NORCON </t>
  </si>
  <si>
    <t>DESPESAS GERAIS DO CAU/AL  -  2017                   CONTA MOV. 149.100-4</t>
  </si>
  <si>
    <t>LIMA &amp; BARROS (UNIFORMES)</t>
  </si>
  <si>
    <t>SINCOAL (CONTRIBUIÇÃO SINDICAL ANUAL)</t>
  </si>
  <si>
    <t>C DE A MARQUES (MATERIAL DE EXPEDIENTE)</t>
  </si>
  <si>
    <t>Dia do Arquiteto (Prêmio TFG)</t>
  </si>
  <si>
    <t>Ressarcimento - SICCAU</t>
  </si>
  <si>
    <t>Outras despesas</t>
  </si>
  <si>
    <t>COMBUSTIVEL</t>
  </si>
  <si>
    <t>EQUIPAMENTOS ELETRONICOS</t>
  </si>
  <si>
    <t xml:space="preserve">FUNDO DE RESERVA CSC </t>
  </si>
  <si>
    <t>EQUIPAMENTOS AUDITÓRIO (MESA, TOALHAS)</t>
  </si>
  <si>
    <t>SERVIÇO DE BUFFET</t>
  </si>
  <si>
    <t>RESSARCIMENTO ANUIDADE</t>
  </si>
  <si>
    <t>RESSARCIMENTO RRT</t>
  </si>
  <si>
    <t>MANUTENÇÃO IMPRESSORA</t>
  </si>
  <si>
    <t>EQUIPAMENTO ELETRONICO ( TV )</t>
  </si>
  <si>
    <t>FÉRIAS</t>
  </si>
  <si>
    <t>TRIBUNA INDEPENDENTE (PUBLICAÇÃO)</t>
  </si>
  <si>
    <t>Diárias</t>
  </si>
  <si>
    <t>Conselheiros</t>
  </si>
  <si>
    <t>Funcionários</t>
  </si>
  <si>
    <t>Fiscalização</t>
  </si>
  <si>
    <t>Convidados</t>
  </si>
  <si>
    <t>Passagens - LYSTURISMO VIAGENS</t>
  </si>
  <si>
    <t>PREVENSEGURANÇA (PPRA e PCMSO)</t>
  </si>
  <si>
    <t>Realizado até Ago/2016</t>
  </si>
  <si>
    <t>Realizado até Ago/2017</t>
  </si>
  <si>
    <r>
      <t xml:space="preserve">DATA DE ELABORAÇÃO: </t>
    </r>
    <r>
      <rPr>
        <sz val="16"/>
        <color theme="1"/>
        <rFont val="Calibri"/>
        <family val="2"/>
        <scheme val="minor"/>
      </rPr>
      <t xml:space="preserve"> 14-09-2017</t>
    </r>
  </si>
  <si>
    <r>
      <t xml:space="preserve">Período: </t>
    </r>
    <r>
      <rPr>
        <sz val="16"/>
        <color theme="1"/>
        <rFont val="Calibri"/>
        <family val="2"/>
        <scheme val="minor"/>
      </rPr>
      <t xml:space="preserve">Jan-Ago-2017 </t>
    </r>
  </si>
  <si>
    <t>Período
01 a 08/2017</t>
  </si>
  <si>
    <t>Período
01 a 08/2016</t>
  </si>
  <si>
    <t>MANUTENÇÃO DOS CONDICIONADORES DE AR</t>
  </si>
  <si>
    <t>VELOO INTERNET</t>
  </si>
  <si>
    <r>
      <t xml:space="preserve">RESPONSÁVEL PELA ELABORAÇÃO:  </t>
    </r>
    <r>
      <rPr>
        <sz val="16"/>
        <color theme="1"/>
        <rFont val="Calibri"/>
        <family val="2"/>
        <scheme val="minor"/>
      </rPr>
      <t>José Rodrigo Lopes - Gerente Administrativo e Financeiro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</si>
</sst>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  <numFmt numFmtId="168" formatCode="_(&quot;$&quot;* #,##0.00_);_(&quot;$&quot;* \(#,##0.00\);_(&quot;$&quot;* &quot;-&quot;??_);_(@_)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1"/>
      <name val="Segoe UI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sz val="8"/>
      <color rgb="FF434343"/>
      <name val="Tahoma"/>
      <family val="2"/>
    </font>
    <font>
      <b/>
      <sz val="7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0"/>
    <xf numFmtId="168" fontId="49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0" borderId="0" xfId="0" applyFont="1"/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readingOrder="1"/>
    </xf>
    <xf numFmtId="166" fontId="4" fillId="0" borderId="0" xfId="2" applyNumberFormat="1" applyFont="1" applyAlignment="1">
      <alignment readingOrder="1"/>
    </xf>
    <xf numFmtId="43" fontId="15" fillId="0" borderId="0" xfId="0" applyNumberFormat="1" applyFont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4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/>
    </xf>
    <xf numFmtId="0" fontId="0" fillId="2" borderId="0" xfId="0" applyFill="1"/>
    <xf numFmtId="0" fontId="19" fillId="2" borderId="0" xfId="0" applyFont="1" applyFill="1"/>
    <xf numFmtId="9" fontId="19" fillId="2" borderId="0" xfId="1" applyFont="1" applyFill="1" applyAlignment="1">
      <alignment horizontal="center"/>
    </xf>
    <xf numFmtId="9" fontId="19" fillId="2" borderId="0" xfId="1" applyFont="1" applyFill="1"/>
    <xf numFmtId="0" fontId="19" fillId="0" borderId="0" xfId="0" applyFont="1"/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9" fontId="18" fillId="3" borderId="1" xfId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/>
    </xf>
    <xf numFmtId="41" fontId="18" fillId="3" borderId="1" xfId="0" applyNumberFormat="1" applyFont="1" applyFill="1" applyBorder="1" applyAlignment="1">
      <alignment vertical="center"/>
    </xf>
    <xf numFmtId="9" fontId="18" fillId="3" borderId="12" xfId="1" applyFont="1" applyFill="1" applyBorder="1" applyAlignment="1">
      <alignment horizontal="center" vertical="center"/>
    </xf>
    <xf numFmtId="9" fontId="18" fillId="3" borderId="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/>
    </xf>
    <xf numFmtId="0" fontId="18" fillId="2" borderId="3" xfId="0" applyFont="1" applyFill="1" applyBorder="1" applyAlignment="1">
      <alignment vertical="center"/>
    </xf>
    <xf numFmtId="41" fontId="18" fillId="2" borderId="1" xfId="0" applyNumberFormat="1" applyFont="1" applyFill="1" applyBorder="1" applyAlignment="1">
      <alignment vertical="center"/>
    </xf>
    <xf numFmtId="9" fontId="18" fillId="2" borderId="12" xfId="1" applyFont="1" applyFill="1" applyBorder="1" applyAlignment="1">
      <alignment horizontal="center" vertical="center"/>
    </xf>
    <xf numFmtId="9" fontId="18" fillId="2" borderId="1" xfId="1" applyFont="1" applyFill="1" applyBorder="1" applyAlignment="1">
      <alignment horizontal="center" vertical="center"/>
    </xf>
    <xf numFmtId="9" fontId="19" fillId="2" borderId="1" xfId="1" applyFont="1" applyFill="1" applyBorder="1" applyAlignment="1">
      <alignment horizontal="center"/>
    </xf>
    <xf numFmtId="0" fontId="18" fillId="5" borderId="3" xfId="0" applyFont="1" applyFill="1" applyBorder="1" applyAlignment="1">
      <alignment vertical="center"/>
    </xf>
    <xf numFmtId="41" fontId="18" fillId="5" borderId="1" xfId="0" applyNumberFormat="1" applyFont="1" applyFill="1" applyBorder="1" applyAlignment="1">
      <alignment vertical="center"/>
    </xf>
    <xf numFmtId="9" fontId="18" fillId="5" borderId="12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41" fontId="19" fillId="2" borderId="1" xfId="0" applyNumberFormat="1" applyFont="1" applyFill="1" applyBorder="1" applyAlignment="1">
      <alignment vertical="center"/>
    </xf>
    <xf numFmtId="9" fontId="18" fillId="2" borderId="3" xfId="1" applyFont="1" applyFill="1" applyBorder="1" applyAlignment="1">
      <alignment horizontal="center" vertical="center"/>
    </xf>
    <xf numFmtId="41" fontId="19" fillId="2" borderId="13" xfId="0" applyNumberFormat="1" applyFont="1" applyFill="1" applyBorder="1" applyAlignment="1">
      <alignment vertical="center"/>
    </xf>
    <xf numFmtId="9" fontId="18" fillId="3" borderId="3" xfId="1" applyFont="1" applyFill="1" applyBorder="1" applyAlignment="1">
      <alignment horizontal="center" vertical="center"/>
    </xf>
    <xf numFmtId="41" fontId="18" fillId="3" borderId="13" xfId="0" applyNumberFormat="1" applyFont="1" applyFill="1" applyBorder="1" applyAlignment="1">
      <alignment vertical="center"/>
    </xf>
    <xf numFmtId="4" fontId="19" fillId="0" borderId="0" xfId="0" applyNumberFormat="1" applyFont="1"/>
    <xf numFmtId="9" fontId="19" fillId="0" borderId="0" xfId="1" applyFont="1" applyAlignment="1">
      <alignment horizontal="center"/>
    </xf>
    <xf numFmtId="9" fontId="19" fillId="0" borderId="0" xfId="1" applyFont="1"/>
    <xf numFmtId="43" fontId="19" fillId="0" borderId="0" xfId="0" applyNumberFormat="1" applyFont="1"/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41" fontId="3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41" fontId="3" fillId="3" borderId="18" xfId="0" applyNumberFormat="1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166" fontId="15" fillId="5" borderId="14" xfId="2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readingOrder="1"/>
    </xf>
    <xf numFmtId="0" fontId="12" fillId="3" borderId="14" xfId="0" applyFont="1" applyFill="1" applyBorder="1" applyAlignment="1">
      <alignment horizontal="center" vertical="center" readingOrder="1"/>
    </xf>
    <xf numFmtId="9" fontId="12" fillId="0" borderId="14" xfId="1" applyFont="1" applyBorder="1" applyAlignment="1">
      <alignment horizontal="center" vertical="center" readingOrder="1"/>
    </xf>
    <xf numFmtId="9" fontId="13" fillId="3" borderId="14" xfId="1" applyFont="1" applyFill="1" applyBorder="1" applyAlignment="1">
      <alignment horizontal="center" vertical="center" readingOrder="1"/>
    </xf>
    <xf numFmtId="0" fontId="13" fillId="3" borderId="14" xfId="0" applyFont="1" applyFill="1" applyBorder="1" applyAlignment="1">
      <alignment horizontal="center" vertical="center" wrapText="1" readingOrder="1"/>
    </xf>
    <xf numFmtId="9" fontId="18" fillId="3" borderId="1" xfId="1" applyFont="1" applyFill="1" applyBorder="1" applyAlignment="1">
      <alignment horizontal="center"/>
    </xf>
    <xf numFmtId="166" fontId="12" fillId="5" borderId="14" xfId="2" applyNumberFormat="1" applyFont="1" applyFill="1" applyBorder="1" applyAlignment="1">
      <alignment vertical="center"/>
    </xf>
    <xf numFmtId="166" fontId="12" fillId="5" borderId="3" xfId="2" applyNumberFormat="1" applyFont="1" applyFill="1" applyBorder="1" applyAlignment="1">
      <alignment vertical="center"/>
    </xf>
    <xf numFmtId="43" fontId="15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Alignment="1">
      <alignment horizontal="center" vertical="center"/>
    </xf>
    <xf numFmtId="0" fontId="24" fillId="6" borderId="32" xfId="0" applyFont="1" applyFill="1" applyBorder="1" applyAlignment="1">
      <alignment horizontal="left" vertical="center" wrapText="1"/>
    </xf>
    <xf numFmtId="0" fontId="25" fillId="2" borderId="0" xfId="0" applyFont="1" applyFill="1"/>
    <xf numFmtId="41" fontId="24" fillId="6" borderId="36" xfId="0" applyNumberFormat="1" applyFont="1" applyFill="1" applyBorder="1" applyAlignment="1">
      <alignment horizontal="center" vertical="center" wrapText="1"/>
    </xf>
    <xf numFmtId="41" fontId="24" fillId="6" borderId="37" xfId="0" applyNumberFormat="1" applyFont="1" applyFill="1" applyBorder="1" applyAlignment="1">
      <alignment horizontal="center" vertical="center" wrapText="1"/>
    </xf>
    <xf numFmtId="41" fontId="2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3" fontId="23" fillId="3" borderId="39" xfId="2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right" vertical="center" wrapText="1"/>
    </xf>
    <xf numFmtId="43" fontId="23" fillId="3" borderId="28" xfId="2" applyFont="1" applyFill="1" applyBorder="1" applyAlignment="1">
      <alignment horizontal="right" vertical="center" wrapText="1"/>
    </xf>
    <xf numFmtId="43" fontId="23" fillId="3" borderId="42" xfId="2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3" fontId="23" fillId="3" borderId="16" xfId="2" applyFont="1" applyFill="1" applyBorder="1" applyAlignment="1">
      <alignment horizontal="right" vertical="center" wrapText="1"/>
    </xf>
    <xf numFmtId="41" fontId="23" fillId="3" borderId="18" xfId="0" applyNumberFormat="1" applyFont="1" applyFill="1" applyBorder="1" applyAlignment="1">
      <alignment horizontal="left" vertical="center" wrapText="1"/>
    </xf>
    <xf numFmtId="43" fontId="23" fillId="3" borderId="19" xfId="2" applyFont="1" applyFill="1" applyBorder="1" applyAlignment="1">
      <alignment horizontal="right" vertical="center" wrapText="1"/>
    </xf>
    <xf numFmtId="166" fontId="23" fillId="2" borderId="0" xfId="2" applyNumberFormat="1" applyFont="1" applyFill="1" applyBorder="1" applyAlignment="1">
      <alignment horizontal="right" vertical="center" wrapText="1"/>
    </xf>
    <xf numFmtId="43" fontId="23" fillId="2" borderId="0" xfId="2" applyFont="1" applyFill="1" applyBorder="1" applyAlignment="1">
      <alignment horizontal="left" vertical="center" wrapText="1"/>
    </xf>
    <xf numFmtId="166" fontId="23" fillId="2" borderId="0" xfId="2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41" fontId="2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43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49" xfId="0" applyNumberFormat="1" applyFont="1" applyFill="1" applyBorder="1" applyAlignment="1">
      <alignment horizontal="center" vertical="center" wrapText="1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 wrapText="1"/>
    </xf>
    <xf numFmtId="166" fontId="3" fillId="2" borderId="11" xfId="2" applyNumberFormat="1" applyFont="1" applyFill="1" applyBorder="1" applyAlignment="1">
      <alignment horizontal="right" vertical="center" wrapText="1"/>
    </xf>
    <xf numFmtId="41" fontId="3" fillId="2" borderId="11" xfId="0" applyNumberFormat="1" applyFont="1" applyFill="1" applyBorder="1" applyAlignment="1">
      <alignment horizontal="right" vertical="center" wrapText="1"/>
    </xf>
    <xf numFmtId="43" fontId="3" fillId="3" borderId="51" xfId="2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center" vertical="center" wrapText="1"/>
    </xf>
    <xf numFmtId="41" fontId="3" fillId="3" borderId="11" xfId="0" applyNumberFormat="1" applyFont="1" applyFill="1" applyBorder="1" applyAlignment="1">
      <alignment horizontal="right" vertical="center" wrapText="1"/>
    </xf>
    <xf numFmtId="41" fontId="32" fillId="7" borderId="14" xfId="0" applyNumberFormat="1" applyFont="1" applyFill="1" applyBorder="1" applyAlignment="1">
      <alignment horizontal="center" vertical="center" wrapText="1"/>
    </xf>
    <xf numFmtId="165" fontId="3" fillId="3" borderId="14" xfId="2" applyNumberFormat="1" applyFont="1" applyFill="1" applyBorder="1" applyAlignment="1">
      <alignment horizontal="right" vertical="center" wrapText="1"/>
    </xf>
    <xf numFmtId="165" fontId="3" fillId="3" borderId="16" xfId="1" applyNumberFormat="1" applyFont="1" applyFill="1" applyBorder="1" applyAlignment="1">
      <alignment horizontal="right" vertical="center" wrapText="1"/>
    </xf>
    <xf numFmtId="41" fontId="3" fillId="7" borderId="14" xfId="0" applyNumberFormat="1" applyFont="1" applyFill="1" applyBorder="1" applyAlignment="1">
      <alignment horizontal="center" vertical="center" wrapText="1"/>
    </xf>
    <xf numFmtId="165" fontId="3" fillId="3" borderId="14" xfId="1" applyNumberFormat="1" applyFont="1" applyFill="1" applyBorder="1" applyAlignment="1">
      <alignment horizontal="right" vertical="center" wrapText="1"/>
    </xf>
    <xf numFmtId="166" fontId="3" fillId="2" borderId="14" xfId="2" applyNumberFormat="1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right" vertical="center" wrapText="1"/>
    </xf>
    <xf numFmtId="43" fontId="3" fillId="3" borderId="16" xfId="2" applyFont="1" applyFill="1" applyBorder="1" applyAlignment="1">
      <alignment horizontal="right" vertical="center" wrapText="1"/>
    </xf>
    <xf numFmtId="41" fontId="3" fillId="7" borderId="18" xfId="0" applyNumberFormat="1" applyFont="1" applyFill="1" applyBorder="1" applyAlignment="1">
      <alignment horizontal="center" vertical="center" wrapText="1"/>
    </xf>
    <xf numFmtId="165" fontId="3" fillId="3" borderId="18" xfId="1" applyNumberFormat="1" applyFont="1" applyFill="1" applyBorder="1" applyAlignment="1">
      <alignment horizontal="right" vertical="center" wrapText="1"/>
    </xf>
    <xf numFmtId="165" fontId="3" fillId="3" borderId="19" xfId="1" applyNumberFormat="1" applyFont="1" applyFill="1" applyBorder="1" applyAlignment="1">
      <alignment horizontal="right" vertical="center" wrapText="1"/>
    </xf>
    <xf numFmtId="43" fontId="3" fillId="2" borderId="14" xfId="2" applyFont="1" applyFill="1" applyBorder="1" applyAlignment="1">
      <alignment horizontal="right" vertical="center" wrapText="1"/>
    </xf>
    <xf numFmtId="165" fontId="3" fillId="3" borderId="18" xfId="2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166" fontId="23" fillId="3" borderId="29" xfId="2" applyNumberFormat="1" applyFont="1" applyFill="1" applyBorder="1" applyAlignment="1">
      <alignment horizontal="left" vertical="center" wrapText="1"/>
    </xf>
    <xf numFmtId="166" fontId="23" fillId="3" borderId="41" xfId="2" applyNumberFormat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vertical="center" wrapText="1"/>
    </xf>
    <xf numFmtId="166" fontId="1" fillId="0" borderId="1" xfId="2" applyNumberFormat="1" applyFont="1" applyBorder="1" applyAlignment="1">
      <alignment vertical="center" wrapText="1"/>
    </xf>
    <xf numFmtId="166" fontId="0" fillId="0" borderId="1" xfId="2" applyNumberFormat="1" applyFont="1" applyFill="1" applyBorder="1" applyAlignment="1">
      <alignment vertical="center" wrapText="1"/>
    </xf>
    <xf numFmtId="166" fontId="1" fillId="4" borderId="1" xfId="2" applyNumberFormat="1" applyFont="1" applyFill="1" applyBorder="1" applyAlignment="1">
      <alignment vertical="center" wrapText="1"/>
    </xf>
    <xf numFmtId="166" fontId="3" fillId="3" borderId="14" xfId="2" applyNumberFormat="1" applyFont="1" applyFill="1" applyBorder="1" applyAlignment="1">
      <alignment horizontal="center" vertical="center" wrapText="1"/>
    </xf>
    <xf numFmtId="166" fontId="0" fillId="2" borderId="14" xfId="2" applyNumberFormat="1" applyFont="1" applyFill="1" applyBorder="1"/>
    <xf numFmtId="166" fontId="3" fillId="3" borderId="18" xfId="2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6" fontId="24" fillId="6" borderId="41" xfId="2" applyNumberFormat="1" applyFont="1" applyFill="1" applyBorder="1" applyAlignment="1">
      <alignment horizontal="left" vertical="center" wrapText="1"/>
    </xf>
    <xf numFmtId="43" fontId="24" fillId="6" borderId="42" xfId="2" applyFont="1" applyFill="1" applyBorder="1" applyAlignment="1">
      <alignment horizontal="left" vertical="center" wrapText="1"/>
    </xf>
    <xf numFmtId="166" fontId="24" fillId="6" borderId="44" xfId="2" applyNumberFormat="1" applyFont="1" applyFill="1" applyBorder="1" applyAlignment="1">
      <alignment horizontal="left" vertical="center" wrapText="1"/>
    </xf>
    <xf numFmtId="43" fontId="24" fillId="6" borderId="45" xfId="2" applyNumberFormat="1" applyFont="1" applyFill="1" applyBorder="1" applyAlignment="1">
      <alignment horizontal="center" vertical="center" wrapText="1"/>
    </xf>
    <xf numFmtId="166" fontId="0" fillId="0" borderId="14" xfId="2" applyNumberFormat="1" applyFont="1" applyFill="1" applyBorder="1" applyAlignment="1">
      <alignment vertical="center" wrapText="1"/>
    </xf>
    <xf numFmtId="166" fontId="0" fillId="0" borderId="14" xfId="2" applyNumberFormat="1" applyFont="1" applyFill="1" applyBorder="1"/>
    <xf numFmtId="166" fontId="1" fillId="0" borderId="1" xfId="2" applyNumberFormat="1" applyFont="1" applyFill="1" applyBorder="1" applyAlignment="1">
      <alignment vertical="center" wrapText="1"/>
    </xf>
    <xf numFmtId="41" fontId="19" fillId="0" borderId="1" xfId="0" applyNumberFormat="1" applyFont="1" applyFill="1" applyBorder="1" applyAlignment="1">
      <alignment vertical="center"/>
    </xf>
    <xf numFmtId="41" fontId="18" fillId="0" borderId="1" xfId="0" applyNumberFormat="1" applyFont="1" applyFill="1" applyBorder="1" applyAlignment="1">
      <alignment vertical="center"/>
    </xf>
    <xf numFmtId="41" fontId="23" fillId="0" borderId="27" xfId="0" applyNumberFormat="1" applyFont="1" applyFill="1" applyBorder="1" applyAlignment="1">
      <alignment horizontal="right" vertical="center" wrapText="1"/>
    </xf>
    <xf numFmtId="166" fontId="0" fillId="2" borderId="1" xfId="2" applyNumberFormat="1" applyFont="1" applyFill="1" applyBorder="1" applyAlignment="1">
      <alignment vertical="center" wrapText="1"/>
    </xf>
    <xf numFmtId="166" fontId="0" fillId="2" borderId="0" xfId="2" applyNumberFormat="1" applyFont="1" applyFill="1"/>
    <xf numFmtId="0" fontId="1" fillId="0" borderId="0" xfId="0" applyFont="1" applyBorder="1"/>
    <xf numFmtId="4" fontId="0" fillId="0" borderId="0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0" fontId="36" fillId="3" borderId="1" xfId="0" applyFont="1" applyFill="1" applyBorder="1" applyAlignment="1">
      <alignment vertical="center" wrapText="1"/>
    </xf>
    <xf numFmtId="41" fontId="36" fillId="3" borderId="1" xfId="0" applyNumberFormat="1" applyFont="1" applyFill="1" applyBorder="1" applyAlignment="1">
      <alignment vertical="center" wrapText="1"/>
    </xf>
    <xf numFmtId="164" fontId="36" fillId="3" borderId="1" xfId="0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41" fontId="36" fillId="4" borderId="1" xfId="0" applyNumberFormat="1" applyFont="1" applyFill="1" applyBorder="1" applyAlignment="1">
      <alignment vertical="center" wrapText="1"/>
    </xf>
    <xf numFmtId="164" fontId="36" fillId="4" borderId="1" xfId="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41" fontId="36" fillId="0" borderId="1" xfId="0" applyNumberFormat="1" applyFont="1" applyBorder="1" applyAlignment="1">
      <alignment vertical="center" wrapText="1"/>
    </xf>
    <xf numFmtId="164" fontId="36" fillId="0" borderId="1" xfId="0" applyNumberFormat="1" applyFont="1" applyBorder="1" applyAlignment="1">
      <alignment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41" fontId="41" fillId="0" borderId="1" xfId="0" applyNumberFormat="1" applyFont="1" applyFill="1" applyBorder="1" applyAlignment="1">
      <alignment vertical="center" wrapText="1"/>
    </xf>
    <xf numFmtId="164" fontId="41" fillId="0" borderId="1" xfId="0" applyNumberFormat="1" applyFont="1" applyBorder="1" applyAlignment="1">
      <alignment vertical="center" wrapText="1"/>
    </xf>
    <xf numFmtId="41" fontId="41" fillId="0" borderId="1" xfId="0" applyNumberFormat="1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41" fontId="36" fillId="0" borderId="1" xfId="0" applyNumberFormat="1" applyFont="1" applyFill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3" fillId="2" borderId="14" xfId="2" quotePrefix="1" applyNumberFormat="1" applyFont="1" applyFill="1" applyBorder="1" applyAlignment="1">
      <alignment horizontal="right" vertical="center" wrapText="1"/>
    </xf>
    <xf numFmtId="0" fontId="37" fillId="2" borderId="15" xfId="0" applyFont="1" applyFill="1" applyBorder="1"/>
    <xf numFmtId="4" fontId="38" fillId="2" borderId="14" xfId="0" applyNumberFormat="1" applyFont="1" applyFill="1" applyBorder="1" applyAlignment="1">
      <alignment horizontal="right"/>
    </xf>
    <xf numFmtId="4" fontId="38" fillId="0" borderId="14" xfId="0" applyNumberFormat="1" applyFont="1" applyFill="1" applyBorder="1" applyAlignment="1">
      <alignment horizontal="right"/>
    </xf>
    <xf numFmtId="4" fontId="39" fillId="0" borderId="14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/>
    <xf numFmtId="0" fontId="45" fillId="9" borderId="59" xfId="0" applyFont="1" applyFill="1" applyBorder="1" applyAlignment="1">
      <alignment horizontal="center" vertical="center"/>
    </xf>
    <xf numFmtId="4" fontId="45" fillId="9" borderId="24" xfId="0" applyNumberFormat="1" applyFont="1" applyFill="1" applyBorder="1" applyAlignment="1">
      <alignment horizontal="right" vertical="center"/>
    </xf>
    <xf numFmtId="4" fontId="45" fillId="9" borderId="59" xfId="0" applyNumberFormat="1" applyFont="1" applyFill="1" applyBorder="1" applyAlignment="1">
      <alignment horizontal="right" vertical="center"/>
    </xf>
    <xf numFmtId="0" fontId="0" fillId="0" borderId="0" xfId="0"/>
    <xf numFmtId="0" fontId="46" fillId="10" borderId="23" xfId="0" applyFont="1" applyFill="1" applyBorder="1" applyAlignment="1">
      <alignment vertical="center"/>
    </xf>
    <xf numFmtId="0" fontId="0" fillId="0" borderId="0" xfId="0"/>
    <xf numFmtId="0" fontId="45" fillId="10" borderId="59" xfId="0" applyFont="1" applyFill="1" applyBorder="1" applyAlignment="1">
      <alignment horizontal="center" vertical="center"/>
    </xf>
    <xf numFmtId="0" fontId="37" fillId="0" borderId="57" xfId="0" applyFont="1" applyFill="1" applyBorder="1"/>
    <xf numFmtId="4" fontId="37" fillId="0" borderId="58" xfId="0" applyNumberFormat="1" applyFont="1" applyFill="1" applyBorder="1" applyAlignment="1">
      <alignment horizontal="center" vertical="center"/>
    </xf>
    <xf numFmtId="4" fontId="37" fillId="0" borderId="58" xfId="0" applyNumberFormat="1" applyFont="1" applyFill="1" applyBorder="1" applyAlignment="1">
      <alignment horizontal="center"/>
    </xf>
    <xf numFmtId="4" fontId="40" fillId="0" borderId="58" xfId="0" applyNumberFormat="1" applyFont="1" applyFill="1" applyBorder="1" applyAlignment="1">
      <alignment horizontal="center"/>
    </xf>
    <xf numFmtId="0" fontId="37" fillId="2" borderId="14" xfId="0" applyFont="1" applyFill="1" applyBorder="1"/>
    <xf numFmtId="0" fontId="37" fillId="8" borderId="14" xfId="0" applyFont="1" applyFill="1" applyBorder="1"/>
    <xf numFmtId="4" fontId="37" fillId="8" borderId="14" xfId="0" applyNumberFormat="1" applyFont="1" applyFill="1" applyBorder="1" applyAlignment="1">
      <alignment horizontal="right" vertical="center"/>
    </xf>
    <xf numFmtId="4" fontId="40" fillId="8" borderId="14" xfId="0" applyNumberFormat="1" applyFont="1" applyFill="1" applyBorder="1" applyAlignment="1">
      <alignment horizontal="right" vertical="center"/>
    </xf>
    <xf numFmtId="0" fontId="37" fillId="2" borderId="11" xfId="0" applyFont="1" applyFill="1" applyBorder="1"/>
    <xf numFmtId="4" fontId="38" fillId="2" borderId="11" xfId="0" applyNumberFormat="1" applyFont="1" applyFill="1" applyBorder="1" applyAlignment="1">
      <alignment horizontal="right"/>
    </xf>
    <xf numFmtId="4" fontId="38" fillId="0" borderId="11" xfId="0" applyNumberFormat="1" applyFont="1" applyFill="1" applyBorder="1" applyAlignment="1">
      <alignment horizontal="right"/>
    </xf>
    <xf numFmtId="0" fontId="37" fillId="2" borderId="22" xfId="0" applyFont="1" applyFill="1" applyBorder="1"/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15" fillId="5" borderId="3" xfId="2" applyNumberFormat="1" applyFont="1" applyFill="1" applyBorder="1" applyAlignment="1">
      <alignment horizontal="center" vertical="center"/>
    </xf>
    <xf numFmtId="166" fontId="15" fillId="0" borderId="61" xfId="2" applyNumberFormat="1" applyFont="1" applyBorder="1" applyAlignment="1">
      <alignment horizontal="center" vertical="center"/>
    </xf>
    <xf numFmtId="166" fontId="15" fillId="0" borderId="11" xfId="2" applyNumberFormat="1" applyFont="1" applyBorder="1" applyAlignment="1">
      <alignment horizontal="center" vertical="center"/>
    </xf>
    <xf numFmtId="166" fontId="15" fillId="0" borderId="60" xfId="2" applyNumberFormat="1" applyFont="1" applyBorder="1" applyAlignment="1">
      <alignment horizontal="center" vertical="center"/>
    </xf>
    <xf numFmtId="43" fontId="16" fillId="3" borderId="59" xfId="0" applyNumberFormat="1" applyFont="1" applyFill="1" applyBorder="1" applyAlignment="1">
      <alignment horizontal="center" vertical="center"/>
    </xf>
    <xf numFmtId="43" fontId="16" fillId="5" borderId="59" xfId="0" applyNumberFormat="1" applyFont="1" applyFill="1" applyBorder="1" applyAlignment="1">
      <alignment horizontal="center" vertical="center"/>
    </xf>
    <xf numFmtId="166" fontId="21" fillId="5" borderId="59" xfId="2" applyNumberFormat="1" applyFont="1" applyFill="1" applyBorder="1" applyAlignment="1">
      <alignment horizontal="center" vertical="center" wrapText="1"/>
    </xf>
    <xf numFmtId="166" fontId="21" fillId="2" borderId="59" xfId="2" applyNumberFormat="1" applyFont="1" applyFill="1" applyBorder="1" applyAlignment="1">
      <alignment vertical="center" wrapText="1"/>
    </xf>
    <xf numFmtId="166" fontId="21" fillId="5" borderId="59" xfId="2" applyNumberFormat="1" applyFont="1" applyFill="1" applyBorder="1" applyAlignment="1">
      <alignment vertical="center" wrapText="1"/>
    </xf>
    <xf numFmtId="166" fontId="15" fillId="0" borderId="56" xfId="2" applyNumberFormat="1" applyFont="1" applyBorder="1" applyAlignment="1">
      <alignment horizontal="center" vertical="center"/>
    </xf>
    <xf numFmtId="166" fontId="15" fillId="5" borderId="5" xfId="2" applyNumberFormat="1" applyFont="1" applyFill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43" fontId="16" fillId="3" borderId="38" xfId="0" applyNumberFormat="1" applyFont="1" applyFill="1" applyBorder="1" applyAlignment="1">
      <alignment horizontal="center" vertical="center"/>
    </xf>
    <xf numFmtId="43" fontId="16" fillId="5" borderId="21" xfId="0" applyNumberFormat="1" applyFont="1" applyFill="1" applyBorder="1" applyAlignment="1">
      <alignment horizontal="center" vertical="center"/>
    </xf>
    <xf numFmtId="166" fontId="21" fillId="5" borderId="21" xfId="2" applyNumberFormat="1" applyFont="1" applyFill="1" applyBorder="1" applyAlignment="1">
      <alignment horizontal="center" vertical="center" wrapText="1"/>
    </xf>
    <xf numFmtId="49" fontId="16" fillId="3" borderId="59" xfId="0" applyNumberFormat="1" applyFont="1" applyFill="1" applyBorder="1" applyAlignment="1">
      <alignment horizontal="center" vertical="center"/>
    </xf>
    <xf numFmtId="166" fontId="15" fillId="0" borderId="2" xfId="2" applyNumberFormat="1" applyFont="1" applyFill="1" applyBorder="1" applyAlignment="1">
      <alignment horizontal="center" vertical="center"/>
    </xf>
    <xf numFmtId="166" fontId="12" fillId="5" borderId="5" xfId="2" applyNumberFormat="1" applyFont="1" applyFill="1" applyBorder="1" applyAlignment="1">
      <alignment vertical="center"/>
    </xf>
    <xf numFmtId="166" fontId="12" fillId="2" borderId="56" xfId="2" applyNumberFormat="1" applyFont="1" applyFill="1" applyBorder="1" applyAlignment="1">
      <alignment vertical="center"/>
    </xf>
    <xf numFmtId="166" fontId="12" fillId="2" borderId="11" xfId="2" applyNumberFormat="1" applyFont="1" applyFill="1" applyBorder="1" applyAlignment="1">
      <alignment vertical="center"/>
    </xf>
    <xf numFmtId="166" fontId="12" fillId="2" borderId="60" xfId="2" applyNumberFormat="1" applyFont="1" applyFill="1" applyBorder="1" applyAlignment="1">
      <alignment vertical="center"/>
    </xf>
    <xf numFmtId="166" fontId="47" fillId="5" borderId="59" xfId="2" applyNumberFormat="1" applyFont="1" applyFill="1" applyBorder="1" applyAlignment="1">
      <alignment horizontal="center" vertical="center" wrapText="1"/>
    </xf>
    <xf numFmtId="166" fontId="48" fillId="2" borderId="59" xfId="2" applyNumberFormat="1" applyFont="1" applyFill="1" applyBorder="1" applyAlignment="1">
      <alignment vertical="center" wrapText="1"/>
    </xf>
    <xf numFmtId="166" fontId="48" fillId="5" borderId="59" xfId="2" applyNumberFormat="1" applyFont="1" applyFill="1" applyBorder="1" applyAlignment="1">
      <alignment vertical="center" wrapText="1"/>
    </xf>
    <xf numFmtId="0" fontId="1" fillId="4" borderId="14" xfId="0" applyFont="1" applyFill="1" applyBorder="1"/>
    <xf numFmtId="4" fontId="1" fillId="4" borderId="14" xfId="0" applyNumberFormat="1" applyFont="1" applyFill="1" applyBorder="1" applyAlignment="1">
      <alignment horizontal="right" vertical="center"/>
    </xf>
    <xf numFmtId="0" fontId="0" fillId="0" borderId="0" xfId="0"/>
    <xf numFmtId="43" fontId="38" fillId="2" borderId="11" xfId="2" applyFont="1" applyFill="1" applyBorder="1" applyAlignment="1">
      <alignment horizontal="right"/>
    </xf>
    <xf numFmtId="43" fontId="38" fillId="2" borderId="14" xfId="2" applyFont="1" applyFill="1" applyBorder="1" applyAlignment="1">
      <alignment horizontal="right"/>
    </xf>
    <xf numFmtId="43" fontId="38" fillId="0" borderId="11" xfId="2" applyFont="1" applyFill="1" applyBorder="1" applyAlignment="1">
      <alignment horizontal="right"/>
    </xf>
    <xf numFmtId="43" fontId="39" fillId="0" borderId="11" xfId="2" applyFont="1" applyFill="1" applyBorder="1" applyAlignment="1">
      <alignment horizontal="right"/>
    </xf>
    <xf numFmtId="43" fontId="38" fillId="2" borderId="14" xfId="2" applyFont="1" applyFill="1" applyBorder="1" applyAlignment="1">
      <alignment horizontal="right" vertical="center"/>
    </xf>
    <xf numFmtId="43" fontId="38" fillId="0" borderId="14" xfId="2" applyFont="1" applyFill="1" applyBorder="1" applyAlignment="1">
      <alignment horizontal="right"/>
    </xf>
    <xf numFmtId="43" fontId="39" fillId="0" borderId="14" xfId="2" applyFont="1" applyFill="1" applyBorder="1" applyAlignment="1">
      <alignment horizontal="right"/>
    </xf>
    <xf numFmtId="43" fontId="39" fillId="2" borderId="14" xfId="2" applyFont="1" applyFill="1" applyBorder="1" applyAlignment="1">
      <alignment horizontal="right"/>
    </xf>
    <xf numFmtId="43" fontId="0" fillId="0" borderId="14" xfId="2" applyFont="1" applyBorder="1"/>
    <xf numFmtId="43" fontId="0" fillId="2" borderId="14" xfId="2" applyFont="1" applyFill="1" applyBorder="1"/>
    <xf numFmtId="43" fontId="41" fillId="0" borderId="14" xfId="2" applyFont="1" applyBorder="1"/>
    <xf numFmtId="0" fontId="0" fillId="0" borderId="0" xfId="0"/>
    <xf numFmtId="4" fontId="39" fillId="2" borderId="1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4" fontId="0" fillId="0" borderId="0" xfId="0" applyNumberFormat="1"/>
    <xf numFmtId="43" fontId="38" fillId="0" borderId="11" xfId="2" applyFont="1" applyFill="1" applyBorder="1" applyAlignment="1">
      <alignment horizontal="right" vertical="center"/>
    </xf>
    <xf numFmtId="43" fontId="38" fillId="0" borderId="14" xfId="2" applyFont="1" applyFill="1" applyBorder="1" applyAlignment="1">
      <alignment horizontal="right" vertical="center"/>
    </xf>
    <xf numFmtId="0" fontId="1" fillId="11" borderId="1" xfId="0" applyFont="1" applyFill="1" applyBorder="1" applyAlignment="1">
      <alignment vertical="center" wrapText="1"/>
    </xf>
    <xf numFmtId="41" fontId="1" fillId="11" borderId="1" xfId="0" applyNumberFormat="1" applyFont="1" applyFill="1" applyBorder="1" applyAlignment="1">
      <alignment vertical="center" wrapText="1"/>
    </xf>
    <xf numFmtId="166" fontId="1" fillId="11" borderId="1" xfId="2" applyNumberFormat="1" applyFont="1" applyFill="1" applyBorder="1" applyAlignment="1">
      <alignment vertical="center" wrapText="1"/>
    </xf>
    <xf numFmtId="164" fontId="1" fillId="11" borderId="1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1" fontId="0" fillId="3" borderId="1" xfId="0" applyNumberFormat="1" applyFill="1" applyBorder="1" applyAlignment="1">
      <alignment vertical="center" wrapText="1"/>
    </xf>
    <xf numFmtId="166" fontId="0" fillId="3" borderId="1" xfId="2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41" fontId="19" fillId="2" borderId="0" xfId="0" applyNumberFormat="1" applyFont="1" applyFill="1"/>
    <xf numFmtId="0" fontId="0" fillId="0" borderId="0" xfId="0"/>
    <xf numFmtId="43" fontId="0" fillId="0" borderId="14" xfId="2" applyFont="1" applyFill="1" applyBorder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4" fillId="6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 wrapText="1"/>
    </xf>
    <xf numFmtId="0" fontId="21" fillId="3" borderId="23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166" fontId="13" fillId="3" borderId="14" xfId="2" applyNumberFormat="1" applyFont="1" applyFill="1" applyBorder="1" applyAlignment="1">
      <alignment horizontal="center" vertical="center" wrapText="1" readingOrder="1"/>
    </xf>
    <xf numFmtId="167" fontId="12" fillId="0" borderId="14" xfId="2" applyNumberFormat="1" applyFont="1" applyFill="1" applyBorder="1" applyAlignment="1">
      <alignment horizontal="center" vertical="center" readingOrder="1"/>
    </xf>
    <xf numFmtId="167" fontId="13" fillId="3" borderId="14" xfId="2" applyNumberFormat="1" applyFont="1" applyFill="1" applyBorder="1" applyAlignment="1">
      <alignment horizontal="center" vertical="center" readingOrder="1"/>
    </xf>
    <xf numFmtId="167" fontId="48" fillId="0" borderId="14" xfId="2" applyNumberFormat="1" applyFont="1" applyBorder="1" applyAlignment="1">
      <alignment horizontal="center" vertical="center" readingOrder="1"/>
    </xf>
    <xf numFmtId="167" fontId="13" fillId="0" borderId="14" xfId="2" applyNumberFormat="1" applyFont="1" applyBorder="1" applyAlignment="1">
      <alignment horizontal="center" vertical="center" readingOrder="1"/>
    </xf>
    <xf numFmtId="167" fontId="48" fillId="3" borderId="14" xfId="2" applyNumberFormat="1" applyFont="1" applyFill="1" applyBorder="1" applyAlignment="1">
      <alignment horizontal="center" vertical="center" readingOrder="1"/>
    </xf>
    <xf numFmtId="0" fontId="27" fillId="6" borderId="46" xfId="0" applyFont="1" applyFill="1" applyBorder="1" applyAlignment="1">
      <alignment horizontal="center" vertical="center" textRotation="90"/>
    </xf>
    <xf numFmtId="0" fontId="27" fillId="6" borderId="53" xfId="0" applyFont="1" applyFill="1" applyBorder="1" applyAlignment="1">
      <alignment horizontal="center" vertical="center" textRotation="90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justify" vertical="justify" wrapText="1"/>
    </xf>
    <xf numFmtId="0" fontId="1" fillId="7" borderId="8" xfId="0" applyFont="1" applyFill="1" applyBorder="1" applyAlignment="1">
      <alignment horizontal="justify" vertical="justify" wrapText="1"/>
    </xf>
    <xf numFmtId="0" fontId="1" fillId="7" borderId="55" xfId="0" applyFont="1" applyFill="1" applyBorder="1" applyAlignment="1">
      <alignment horizontal="justify" vertical="justify" wrapText="1"/>
    </xf>
    <xf numFmtId="0" fontId="1" fillId="7" borderId="56" xfId="0" applyFont="1" applyFill="1" applyBorder="1" applyAlignment="1">
      <alignment horizontal="justify" vertical="justify" wrapText="1"/>
    </xf>
    <xf numFmtId="166" fontId="4" fillId="2" borderId="0" xfId="2" applyNumberFormat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justify" vertical="justify" wrapText="1"/>
    </xf>
    <xf numFmtId="0" fontId="3" fillId="7" borderId="14" xfId="0" applyFont="1" applyFill="1" applyBorder="1" applyAlignment="1">
      <alignment horizontal="justify" vertical="justify" wrapText="1"/>
    </xf>
    <xf numFmtId="0" fontId="3" fillId="7" borderId="17" xfId="0" applyFont="1" applyFill="1" applyBorder="1" applyAlignment="1">
      <alignment horizontal="justify" vertical="justify" wrapText="1"/>
    </xf>
    <xf numFmtId="0" fontId="3" fillId="7" borderId="18" xfId="0" applyFont="1" applyFill="1" applyBorder="1" applyAlignment="1">
      <alignment horizontal="justify" vertical="justify" wrapText="1"/>
    </xf>
    <xf numFmtId="0" fontId="23" fillId="2" borderId="33" xfId="0" applyFont="1" applyFill="1" applyBorder="1" applyAlignment="1">
      <alignment horizontal="left"/>
    </xf>
    <xf numFmtId="0" fontId="24" fillId="6" borderId="34" xfId="0" applyFont="1" applyFill="1" applyBorder="1" applyAlignment="1">
      <alignment horizontal="center" vertical="center" textRotation="90"/>
    </xf>
    <xf numFmtId="0" fontId="24" fillId="6" borderId="38" xfId="0" applyFont="1" applyFill="1" applyBorder="1" applyAlignment="1">
      <alignment horizontal="center" vertical="center" textRotation="90"/>
    </xf>
    <xf numFmtId="0" fontId="24" fillId="6" borderId="21" xfId="0" applyFont="1" applyFill="1" applyBorder="1" applyAlignment="1">
      <alignment horizontal="center" vertical="center" textRotation="90"/>
    </xf>
    <xf numFmtId="41" fontId="24" fillId="6" borderId="35" xfId="0" applyNumberFormat="1" applyFont="1" applyFill="1" applyBorder="1" applyAlignment="1">
      <alignment horizontal="center" vertical="center" wrapText="1"/>
    </xf>
    <xf numFmtId="41" fontId="24" fillId="6" borderId="36" xfId="0" applyNumberFormat="1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left" vertical="center"/>
    </xf>
    <xf numFmtId="41" fontId="23" fillId="2" borderId="40" xfId="0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41" fontId="23" fillId="2" borderId="5" xfId="0" applyNumberFormat="1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1" fontId="24" fillId="6" borderId="15" xfId="0" applyNumberFormat="1" applyFont="1" applyFill="1" applyBorder="1" applyAlignment="1">
      <alignment horizontal="left" vertical="center" wrapText="1"/>
    </xf>
    <xf numFmtId="41" fontId="24" fillId="6" borderId="3" xfId="0" applyNumberFormat="1" applyFont="1" applyFill="1" applyBorder="1" applyAlignment="1">
      <alignment horizontal="left" vertical="center" wrapText="1"/>
    </xf>
    <xf numFmtId="41" fontId="23" fillId="2" borderId="43" xfId="0" applyNumberFormat="1" applyFont="1" applyFill="1" applyBorder="1" applyAlignment="1">
      <alignment horizontal="left" vertical="center" wrapText="1"/>
    </xf>
    <xf numFmtId="41" fontId="23" fillId="2" borderId="18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left" vertical="center" wrapText="1"/>
    </xf>
    <xf numFmtId="0" fontId="24" fillId="6" borderId="31" xfId="0" applyFont="1" applyFill="1" applyBorder="1" applyAlignment="1">
      <alignment horizontal="left" vertical="center" wrapText="1"/>
    </xf>
    <xf numFmtId="0" fontId="0" fillId="0" borderId="0" xfId="0"/>
    <xf numFmtId="0" fontId="0" fillId="0" borderId="57" xfId="0" applyBorder="1"/>
    <xf numFmtId="0" fontId="0" fillId="0" borderId="58" xfId="0" applyBorder="1"/>
    <xf numFmtId="4" fontId="51" fillId="12" borderId="0" xfId="0" applyNumberFormat="1" applyFont="1" applyFill="1" applyAlignment="1">
      <alignment horizontal="right" vertical="center" wrapText="1"/>
    </xf>
    <xf numFmtId="4" fontId="52" fillId="12" borderId="0" xfId="0" applyNumberFormat="1" applyFont="1" applyFill="1" applyAlignment="1">
      <alignment horizontal="right" vertical="center" wrapText="1"/>
    </xf>
  </cellXfs>
  <cellStyles count="5">
    <cellStyle name="Moeda 2" xfId="4"/>
    <cellStyle name="Normal" xfId="0" builtinId="0"/>
    <cellStyle name="Normal 2" xfId="3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8080"/>
      <color rgb="FF009999"/>
      <color rgb="FF00C5C0"/>
      <color rgb="FF318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10</xdr:col>
      <xdr:colOff>539750</xdr:colOff>
      <xdr:row>32</xdr:row>
      <xdr:rowOff>142876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50800"/>
          <a:ext cx="8858250" cy="6188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2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RELATÓRIO DE EXECUÇÃO MENSAL </a:t>
          </a: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9</xdr:col>
      <xdr:colOff>2867025</xdr:colOff>
      <xdr:row>30</xdr:row>
      <xdr:rowOff>133350</xdr:rowOff>
    </xdr:to>
    <xdr:sp macro="" textlink="">
      <xdr:nvSpPr>
        <xdr:cNvPr id="3" name="Freeform 7"/>
        <xdr:cNvSpPr>
          <a:spLocks/>
        </xdr:cNvSpPr>
      </xdr:nvSpPr>
      <xdr:spPr bwMode="auto">
        <a:xfrm flipH="1">
          <a:off x="0" y="4543425"/>
          <a:ext cx="8353425" cy="1304925"/>
        </a:xfrm>
        <a:custGeom>
          <a:avLst/>
          <a:gdLst>
            <a:gd name="T0" fmla="*/ 0 w 3466"/>
            <a:gd name="T1" fmla="*/ 2147483646 h 3550"/>
            <a:gd name="T2" fmla="*/ 0 w 3466"/>
            <a:gd name="T3" fmla="*/ 2147483646 h 3550"/>
            <a:gd name="T4" fmla="*/ 2147483646 w 3466"/>
            <a:gd name="T5" fmla="*/ 2147483646 h 3550"/>
            <a:gd name="T6" fmla="*/ 2147483646 w 3466"/>
            <a:gd name="T7" fmla="*/ 0 h 3550"/>
            <a:gd name="T8" fmla="*/ 0 w 3466"/>
            <a:gd name="T9" fmla="*/ 2147483646 h 35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66" h="3550">
              <a:moveTo>
                <a:pt x="0" y="569"/>
              </a:moveTo>
              <a:lnTo>
                <a:pt x="0" y="2930"/>
              </a:lnTo>
              <a:lnTo>
                <a:pt x="3466" y="3550"/>
              </a:lnTo>
              <a:lnTo>
                <a:pt x="3466" y="0"/>
              </a:lnTo>
              <a:lnTo>
                <a:pt x="0" y="569"/>
              </a:lnTo>
              <a:close/>
            </a:path>
          </a:pathLst>
        </a:custGeom>
        <a:solidFill>
          <a:srgbClr val="205867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296331</xdr:colOff>
      <xdr:row>25</xdr:row>
      <xdr:rowOff>70857</xdr:rowOff>
    </xdr:from>
    <xdr:to>
      <xdr:col>9</xdr:col>
      <xdr:colOff>2899831</xdr:colOff>
      <xdr:row>28</xdr:row>
      <xdr:rowOff>148166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 flipH="1">
          <a:off x="1523998" y="4833357"/>
          <a:ext cx="6900333" cy="64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pt-BR" sz="4400" b="0" i="0" u="none" strike="noStrike" baseline="0">
              <a:solidFill>
                <a:srgbClr val="215868"/>
              </a:solidFill>
              <a:latin typeface="Arial"/>
              <a:cs typeface="Arial"/>
            </a:rPr>
            <a:t>             Agosto 2017</a:t>
          </a:r>
        </a:p>
      </xdr:txBody>
    </xdr:sp>
    <xdr:clientData/>
  </xdr:twoCellAnchor>
  <xdr:twoCellAnchor editAs="oneCell">
    <xdr:from>
      <xdr:col>5</xdr:col>
      <xdr:colOff>11206</xdr:colOff>
      <xdr:row>2</xdr:row>
      <xdr:rowOff>3361</xdr:rowOff>
    </xdr:from>
    <xdr:to>
      <xdr:col>9</xdr:col>
      <xdr:colOff>683559</xdr:colOff>
      <xdr:row>17</xdr:row>
      <xdr:rowOff>88206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4" y="384361"/>
          <a:ext cx="3092824" cy="29423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22225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85725</xdr:rowOff>
    </xdr:from>
    <xdr:to>
      <xdr:col>6</xdr:col>
      <xdr:colOff>440748</xdr:colOff>
      <xdr:row>4</xdr:row>
      <xdr:rowOff>133350</xdr:rowOff>
    </xdr:to>
    <xdr:pic>
      <xdr:nvPicPr>
        <xdr:cNvPr id="5" name="Imagem 4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6905625" cy="1114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95212</xdr:colOff>
      <xdr:row>0</xdr:row>
      <xdr:rowOff>178595</xdr:rowOff>
    </xdr:from>
    <xdr:to>
      <xdr:col>9</xdr:col>
      <xdr:colOff>619087</xdr:colOff>
      <xdr:row>4</xdr:row>
      <xdr:rowOff>111920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00" y="178595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5</xdr:col>
      <xdr:colOff>1326497</xdr:colOff>
      <xdr:row>4</xdr:row>
      <xdr:rowOff>152400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8296275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0</xdr:row>
      <xdr:rowOff>161925</xdr:rowOff>
    </xdr:from>
    <xdr:to>
      <xdr:col>7</xdr:col>
      <xdr:colOff>340519</xdr:colOff>
      <xdr:row>4</xdr:row>
      <xdr:rowOff>209550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61925"/>
          <a:ext cx="9477375" cy="1114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228600</xdr:rowOff>
    </xdr:from>
    <xdr:to>
      <xdr:col>12</xdr:col>
      <xdr:colOff>191621</xdr:colOff>
      <xdr:row>4</xdr:row>
      <xdr:rowOff>104775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228600"/>
          <a:ext cx="8058150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250032</xdr:colOff>
      <xdr:row>0</xdr:row>
      <xdr:rowOff>148433</xdr:rowOff>
    </xdr:from>
    <xdr:to>
      <xdr:col>12</xdr:col>
      <xdr:colOff>468686</xdr:colOff>
      <xdr:row>4</xdr:row>
      <xdr:rowOff>95250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148433"/>
          <a:ext cx="7917656" cy="99456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180975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90" zoomScaleSheetLayoutView="90" workbookViewId="0">
      <selection activeCell="O22" sqref="O22"/>
    </sheetView>
  </sheetViews>
  <sheetFormatPr defaultRowHeight="15" x14ac:dyDescent="0.25"/>
  <cols>
    <col min="1" max="9" width="9.140625" style="75"/>
    <col min="10" max="10" width="43.42578125" style="75" customWidth="1"/>
    <col min="11" max="16384" width="9.140625" style="75"/>
  </cols>
  <sheetData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view="pageBreakPreview" topLeftCell="B22" zoomScale="70" zoomScaleSheetLayoutView="70" workbookViewId="0">
      <selection activeCell="G27" sqref="G27:I27"/>
    </sheetView>
  </sheetViews>
  <sheetFormatPr defaultRowHeight="15" x14ac:dyDescent="0.25"/>
  <cols>
    <col min="1" max="1" width="9.140625" style="75"/>
    <col min="2" max="2" width="35.5703125" style="75" customWidth="1"/>
    <col min="3" max="3" width="23" style="75" customWidth="1"/>
    <col min="4" max="4" width="17.7109375" style="75" customWidth="1"/>
    <col min="5" max="5" width="18.42578125" style="75" customWidth="1"/>
    <col min="6" max="6" width="15.5703125" style="75" customWidth="1"/>
    <col min="7" max="7" width="13.140625" style="75" customWidth="1"/>
    <col min="8" max="8" width="10.7109375" style="75" customWidth="1"/>
    <col min="9" max="9" width="40.85546875" style="75" customWidth="1"/>
    <col min="10" max="10" width="34.140625" style="75" customWidth="1"/>
    <col min="11" max="11" width="16" style="75" customWidth="1"/>
    <col min="12" max="12" width="15.7109375" style="75" customWidth="1"/>
    <col min="13" max="13" width="17.42578125" style="75" customWidth="1"/>
    <col min="14" max="16384" width="9.140625" style="75"/>
  </cols>
  <sheetData>
    <row r="1" spans="1:13" s="76" customFormat="1" ht="21" x14ac:dyDescent="0.35">
      <c r="G1" s="77"/>
      <c r="H1" s="78"/>
    </row>
    <row r="2" spans="1:13" s="76" customFormat="1" ht="21" x14ac:dyDescent="0.35">
      <c r="G2" s="77"/>
      <c r="H2" s="78"/>
    </row>
    <row r="3" spans="1:13" s="76" customFormat="1" ht="21" x14ac:dyDescent="0.35">
      <c r="G3" s="77"/>
      <c r="H3" s="78"/>
    </row>
    <row r="4" spans="1:13" s="76" customFormat="1" ht="21" x14ac:dyDescent="0.35">
      <c r="G4" s="77"/>
      <c r="H4" s="78"/>
    </row>
    <row r="5" spans="1:13" s="76" customFormat="1" ht="21" x14ac:dyDescent="0.35">
      <c r="G5" s="77"/>
      <c r="H5" s="78"/>
    </row>
    <row r="6" spans="1:13" s="79" customFormat="1" ht="21" customHeight="1" x14ac:dyDescent="0.35">
      <c r="A6" s="362" t="str">
        <f>'Dem Fontes e Usos'!A6:G6</f>
        <v>Relatório Mensal – Exercício 2017</v>
      </c>
      <c r="B6" s="340"/>
      <c r="C6" s="340"/>
      <c r="D6" s="340"/>
      <c r="E6" s="340"/>
      <c r="F6" s="340"/>
      <c r="G6" s="340"/>
      <c r="H6" s="340"/>
      <c r="I6" s="76"/>
      <c r="J6" s="76"/>
      <c r="K6" s="76"/>
      <c r="L6" s="76"/>
      <c r="M6" s="76"/>
    </row>
    <row r="7" spans="1:13" s="79" customFormat="1" ht="21" x14ac:dyDescent="0.35">
      <c r="A7" s="366" t="str">
        <f>'Dem Fontes e Usos'!A7:G7</f>
        <v>RESPONSÁVEL PELA ELABORAÇÃO:  José Rodrigo Lopes - Gerente Administrativo e Financeiro</v>
      </c>
      <c r="B7" s="341"/>
      <c r="C7" s="341"/>
      <c r="D7" s="341"/>
      <c r="E7" s="341"/>
      <c r="F7" s="341"/>
      <c r="G7" s="341"/>
      <c r="H7" s="341"/>
      <c r="I7" s="76"/>
      <c r="J7" s="76"/>
      <c r="K7" s="76"/>
      <c r="L7" s="76"/>
      <c r="M7" s="76"/>
    </row>
    <row r="8" spans="1:13" s="79" customFormat="1" ht="21" customHeight="1" x14ac:dyDescent="0.35">
      <c r="A8" s="366" t="str">
        <f>'Dem Fontes e Usos'!A8:G8</f>
        <v>DATA DE ELABORAÇÃO:  14-09-2017</v>
      </c>
      <c r="B8" s="341"/>
      <c r="C8" s="341"/>
      <c r="D8" s="341"/>
      <c r="E8" s="341"/>
      <c r="F8" s="341"/>
      <c r="G8" s="341"/>
      <c r="H8" s="341"/>
      <c r="I8" s="76"/>
      <c r="J8" s="76"/>
      <c r="K8" s="76"/>
      <c r="L8" s="76"/>
      <c r="M8" s="76"/>
    </row>
    <row r="9" spans="1:13" s="79" customFormat="1" ht="21" customHeight="1" x14ac:dyDescent="0.35">
      <c r="A9" s="366" t="str">
        <f>'Dem Fontes e Usos'!A9:G9</f>
        <v xml:space="preserve">Período: Jan-Ago-2017 </v>
      </c>
      <c r="B9" s="341"/>
      <c r="C9" s="341"/>
      <c r="D9" s="341"/>
      <c r="E9" s="341"/>
      <c r="F9" s="341"/>
      <c r="G9" s="341"/>
      <c r="H9" s="341"/>
      <c r="I9" s="76"/>
      <c r="J9" s="76"/>
      <c r="K9" s="76"/>
      <c r="L9" s="76"/>
      <c r="M9" s="76"/>
    </row>
    <row r="10" spans="1:13" s="145" customFormat="1" ht="23.25" x14ac:dyDescent="0.35">
      <c r="A10" s="342" t="s">
        <v>161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</row>
    <row r="11" spans="1:13" ht="4.5" customHeight="1" thickBot="1" x14ac:dyDescent="0.35">
      <c r="A11" s="394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</row>
    <row r="12" spans="1:13" s="149" customFormat="1" ht="69" customHeight="1" thickBot="1" x14ac:dyDescent="0.3">
      <c r="A12" s="395" t="s">
        <v>130</v>
      </c>
      <c r="B12" s="398" t="s">
        <v>131</v>
      </c>
      <c r="C12" s="399"/>
      <c r="D12" s="146" t="s">
        <v>132</v>
      </c>
      <c r="E12" s="146" t="s">
        <v>133</v>
      </c>
      <c r="F12" s="147" t="s">
        <v>134</v>
      </c>
      <c r="G12" s="148"/>
      <c r="H12" s="395" t="s">
        <v>130</v>
      </c>
      <c r="I12" s="398" t="s">
        <v>135</v>
      </c>
      <c r="J12" s="399"/>
      <c r="K12" s="146" t="s">
        <v>132</v>
      </c>
      <c r="L12" s="146" t="s">
        <v>136</v>
      </c>
      <c r="M12" s="147" t="s">
        <v>134</v>
      </c>
    </row>
    <row r="13" spans="1:13" s="149" customFormat="1" ht="37.9" customHeight="1" x14ac:dyDescent="0.25">
      <c r="A13" s="396"/>
      <c r="B13" s="400" t="s">
        <v>137</v>
      </c>
      <c r="C13" s="401"/>
      <c r="D13" s="198">
        <f>'Dem Fontes e Usos'!B14</f>
        <v>1032778</v>
      </c>
      <c r="E13" s="198">
        <f>'Dem Fontes e Usos'!C14</f>
        <v>771446.17999999993</v>
      </c>
      <c r="F13" s="150">
        <f t="shared" ref="F13:F18" si="0">IFERROR(E13/D13*100,0)</f>
        <v>74.696225132603516</v>
      </c>
      <c r="G13" s="151"/>
      <c r="H13" s="396"/>
      <c r="I13" s="402" t="s">
        <v>138</v>
      </c>
      <c r="J13" s="403"/>
      <c r="K13" s="152">
        <v>550000</v>
      </c>
      <c r="L13" s="218">
        <v>292666.13</v>
      </c>
      <c r="M13" s="153">
        <f>IFERROR(L13/K13*100,0)</f>
        <v>53.212023636363639</v>
      </c>
    </row>
    <row r="14" spans="1:13" s="149" customFormat="1" ht="38.450000000000003" customHeight="1" x14ac:dyDescent="0.25">
      <c r="A14" s="396"/>
      <c r="B14" s="404" t="s">
        <v>139</v>
      </c>
      <c r="C14" s="405"/>
      <c r="D14" s="199">
        <f>'Dem Fontes e Usos'!B21</f>
        <v>82315</v>
      </c>
      <c r="E14" s="199">
        <f>'Dem Fontes e Usos'!C21</f>
        <v>41157.480000000003</v>
      </c>
      <c r="F14" s="154">
        <f t="shared" si="0"/>
        <v>49.999975703091785</v>
      </c>
      <c r="G14" s="151"/>
      <c r="H14" s="396"/>
      <c r="I14" s="406" t="s">
        <v>140</v>
      </c>
      <c r="J14" s="407"/>
      <c r="K14" s="155">
        <v>0</v>
      </c>
      <c r="L14" s="155">
        <v>0</v>
      </c>
      <c r="M14" s="156">
        <f>IFERROR(L14/K14*100,0)</f>
        <v>0</v>
      </c>
    </row>
    <row r="15" spans="1:13" s="149" customFormat="1" ht="43.5" customHeight="1" thickBot="1" x14ac:dyDescent="0.3">
      <c r="A15" s="396"/>
      <c r="B15" s="408" t="s">
        <v>141</v>
      </c>
      <c r="C15" s="409"/>
      <c r="D15" s="209">
        <f>SUM(D13:D14)</f>
        <v>1115093</v>
      </c>
      <c r="E15" s="209">
        <f>SUM(E13:E14)</f>
        <v>812603.65999999992</v>
      </c>
      <c r="F15" s="210">
        <f t="shared" si="0"/>
        <v>72.87317380702774</v>
      </c>
      <c r="G15" s="151"/>
      <c r="H15" s="397"/>
      <c r="I15" s="410" t="s">
        <v>142</v>
      </c>
      <c r="J15" s="411"/>
      <c r="K15" s="157">
        <f>'Dem Fontes e Usos'!B13</f>
        <v>1140356</v>
      </c>
      <c r="L15" s="157">
        <f>'Dem Fontes e Usos'!C13</f>
        <v>831802.40999999992</v>
      </c>
      <c r="M15" s="158">
        <f>IFERROR(L15/K15*100,0)</f>
        <v>72.942345197464647</v>
      </c>
    </row>
    <row r="16" spans="1:13" s="149" customFormat="1" ht="28.5" customHeight="1" x14ac:dyDescent="0.25">
      <c r="A16" s="396"/>
      <c r="B16" s="404" t="s">
        <v>143</v>
      </c>
      <c r="C16" s="405"/>
      <c r="D16" s="199">
        <f>'Dem Fontes e Usos'!B36</f>
        <v>35884</v>
      </c>
      <c r="E16" s="199">
        <f>'Dem Fontes e Usos'!C36</f>
        <v>23922.639999999999</v>
      </c>
      <c r="F16" s="154">
        <f t="shared" si="0"/>
        <v>66.666592353137887</v>
      </c>
      <c r="G16" s="151"/>
      <c r="H16" s="412"/>
      <c r="I16" s="412"/>
      <c r="J16" s="148"/>
      <c r="K16" s="159"/>
      <c r="L16" s="159"/>
      <c r="M16" s="160"/>
    </row>
    <row r="17" spans="1:13" s="149" customFormat="1" ht="33.75" customHeight="1" x14ac:dyDescent="0.25">
      <c r="A17" s="396"/>
      <c r="B17" s="404" t="s">
        <v>144</v>
      </c>
      <c r="C17" s="405"/>
      <c r="D17" s="199">
        <f>'Dem Fontes e Usos'!B37</f>
        <v>85725</v>
      </c>
      <c r="E17" s="199">
        <f>'Dem Fontes e Usos'!C37</f>
        <v>57149.919999999998</v>
      </c>
      <c r="F17" s="154">
        <f t="shared" si="0"/>
        <v>66.66657334499854</v>
      </c>
      <c r="G17" s="151"/>
      <c r="H17" s="412"/>
      <c r="I17" s="412"/>
      <c r="J17" s="148"/>
      <c r="K17" s="160"/>
      <c r="L17" s="160"/>
      <c r="M17" s="160"/>
    </row>
    <row r="18" spans="1:13" s="149" customFormat="1" ht="30.75" customHeight="1" thickBot="1" x14ac:dyDescent="0.3">
      <c r="A18" s="397"/>
      <c r="B18" s="413" t="s">
        <v>145</v>
      </c>
      <c r="C18" s="414"/>
      <c r="D18" s="211">
        <f>D15-D16-D17</f>
        <v>993484</v>
      </c>
      <c r="E18" s="211">
        <f>E15-E16-E17</f>
        <v>731531.09999999986</v>
      </c>
      <c r="F18" s="212">
        <f t="shared" si="0"/>
        <v>73.632901989362679</v>
      </c>
      <c r="G18" s="161"/>
      <c r="H18" s="162"/>
      <c r="I18" s="162"/>
      <c r="J18" s="148"/>
      <c r="K18" s="160"/>
      <c r="L18" s="163"/>
      <c r="M18" s="160"/>
    </row>
    <row r="19" spans="1:13" s="171" customFormat="1" ht="16.5" thickBot="1" x14ac:dyDescent="0.3">
      <c r="A19" s="164"/>
      <c r="B19" s="165"/>
      <c r="C19" s="165"/>
      <c r="D19" s="166"/>
      <c r="E19" s="166"/>
      <c r="F19" s="167"/>
      <c r="G19" s="166"/>
      <c r="H19" s="168"/>
      <c r="I19" s="168"/>
      <c r="J19" s="169"/>
      <c r="K19" s="167"/>
      <c r="L19" s="170"/>
      <c r="M19" s="167"/>
    </row>
    <row r="20" spans="1:13" s="149" customFormat="1" ht="43.5" customHeight="1" thickBot="1" x14ac:dyDescent="0.3">
      <c r="A20" s="376" t="s">
        <v>146</v>
      </c>
      <c r="B20" s="378" t="s">
        <v>147</v>
      </c>
      <c r="C20" s="379"/>
      <c r="D20" s="172" t="s">
        <v>148</v>
      </c>
      <c r="E20" s="173" t="s">
        <v>149</v>
      </c>
      <c r="F20" s="173" t="s">
        <v>134</v>
      </c>
      <c r="G20" s="166"/>
      <c r="H20" s="378" t="s">
        <v>147</v>
      </c>
      <c r="I20" s="379"/>
      <c r="J20" s="380"/>
      <c r="K20" s="174" t="s">
        <v>150</v>
      </c>
      <c r="L20" s="172" t="s">
        <v>151</v>
      </c>
      <c r="M20" s="175" t="s">
        <v>134</v>
      </c>
    </row>
    <row r="21" spans="1:13" s="149" customFormat="1" ht="40.5" customHeight="1" x14ac:dyDescent="0.25">
      <c r="A21" s="376"/>
      <c r="B21" s="381" t="s">
        <v>152</v>
      </c>
      <c r="C21" s="176" t="s">
        <v>153</v>
      </c>
      <c r="D21" s="177">
        <f>'Exec Orçamentária'!D21</f>
        <v>263160</v>
      </c>
      <c r="E21" s="178">
        <f>'Exec Orçamentária'!F21</f>
        <v>154202.29999999999</v>
      </c>
      <c r="F21" s="179">
        <f>IFERROR(E21/D21*100,0)</f>
        <v>58.596405228758165</v>
      </c>
      <c r="G21" s="166"/>
      <c r="H21" s="383" t="s">
        <v>163</v>
      </c>
      <c r="I21" s="384"/>
      <c r="J21" s="176" t="s">
        <v>153</v>
      </c>
      <c r="K21" s="181">
        <f>(K13-K14)</f>
        <v>550000</v>
      </c>
      <c r="L21" s="181">
        <f>(L13-L14)</f>
        <v>292666.13</v>
      </c>
      <c r="M21" s="179">
        <f>IFERROR(L21/K21*100,0)</f>
        <v>53.212023636363639</v>
      </c>
    </row>
    <row r="22" spans="1:13" s="149" customFormat="1" ht="36.6" customHeight="1" x14ac:dyDescent="0.25">
      <c r="A22" s="376"/>
      <c r="B22" s="382"/>
      <c r="C22" s="182" t="s">
        <v>154</v>
      </c>
      <c r="D22" s="183">
        <f>IFERROR(D21/D18,0)</f>
        <v>0.26488599715747813</v>
      </c>
      <c r="E22" s="183">
        <f>IFERROR(E21/E18,0)</f>
        <v>0.21079390883039698</v>
      </c>
      <c r="F22" s="184">
        <f>E22-D22</f>
        <v>-5.409208832708115E-2</v>
      </c>
      <c r="G22" s="166"/>
      <c r="H22" s="385"/>
      <c r="I22" s="386"/>
      <c r="J22" s="185" t="s">
        <v>154</v>
      </c>
      <c r="K22" s="186">
        <f>IFERROR(K21/K15,)</f>
        <v>0.48230552564286944</v>
      </c>
      <c r="L22" s="186">
        <f>IFERROR(L21/L15,)</f>
        <v>0.35184573461382496</v>
      </c>
      <c r="M22" s="184">
        <f>L22-K22</f>
        <v>-0.13045979102904448</v>
      </c>
    </row>
    <row r="23" spans="1:13" s="149" customFormat="1" ht="28.5" customHeight="1" x14ac:dyDescent="0.25">
      <c r="A23" s="376"/>
      <c r="B23" s="382" t="s">
        <v>155</v>
      </c>
      <c r="C23" s="180" t="s">
        <v>153</v>
      </c>
      <c r="D23" s="187">
        <f>'Exec Orçamentária'!D19+'Exec Orçamentária'!D23</f>
        <v>232725</v>
      </c>
      <c r="E23" s="187">
        <f>'Exec Orçamentária'!F19+'Exec Orçamentária'!F23</f>
        <v>148726.37</v>
      </c>
      <c r="F23" s="179">
        <f>IFERROR(E23/D23*100,0)</f>
        <v>63.906486196154255</v>
      </c>
      <c r="G23" s="166"/>
      <c r="H23" s="390" t="s">
        <v>164</v>
      </c>
      <c r="I23" s="391"/>
      <c r="J23" s="180" t="s">
        <v>153</v>
      </c>
      <c r="K23" s="188">
        <f>'Exec Orçamentária'!D17</f>
        <v>11000</v>
      </c>
      <c r="L23" s="188">
        <f>'Exec Orçamentária'!F17</f>
        <v>8432.86</v>
      </c>
      <c r="M23" s="189">
        <f>IFERROR(L23/K23*100,0)</f>
        <v>76.662363636363636</v>
      </c>
    </row>
    <row r="24" spans="1:13" s="149" customFormat="1" ht="32.450000000000003" customHeight="1" thickBot="1" x14ac:dyDescent="0.3">
      <c r="A24" s="376"/>
      <c r="B24" s="382"/>
      <c r="C24" s="185" t="s">
        <v>154</v>
      </c>
      <c r="D24" s="183">
        <f>IFERROR(D23/D18,0)</f>
        <v>0.23425138200514553</v>
      </c>
      <c r="E24" s="183">
        <f>IFERROR(E23/E18,0)</f>
        <v>0.20330833507967061</v>
      </c>
      <c r="F24" s="184">
        <f>E24-D24</f>
        <v>-3.0943046925474921E-2</v>
      </c>
      <c r="G24" s="166"/>
      <c r="H24" s="392"/>
      <c r="I24" s="393"/>
      <c r="J24" s="190" t="s">
        <v>154</v>
      </c>
      <c r="K24" s="191">
        <f>IFERROR(K23/K13,)</f>
        <v>0.02</v>
      </c>
      <c r="L24" s="191">
        <f>IFERROR(L23/L13,)</f>
        <v>2.8813925273826528E-2</v>
      </c>
      <c r="M24" s="192">
        <f>L24-K24</f>
        <v>8.8139252738265277E-3</v>
      </c>
    </row>
    <row r="25" spans="1:13" s="149" customFormat="1" ht="28.5" customHeight="1" x14ac:dyDescent="0.25">
      <c r="A25" s="376"/>
      <c r="B25" s="382" t="s">
        <v>156</v>
      </c>
      <c r="C25" s="180" t="s">
        <v>153</v>
      </c>
      <c r="D25" s="249">
        <f>'Exec Orçamentária'!D18</f>
        <v>31000</v>
      </c>
      <c r="E25" s="188">
        <f>'Exec Orçamentária'!F18</f>
        <v>20000</v>
      </c>
      <c r="F25" s="179">
        <f>IFERROR(E25/D25*100,0)</f>
        <v>64.516129032258064</v>
      </c>
      <c r="G25" s="166"/>
    </row>
    <row r="26" spans="1:13" s="149" customFormat="1" ht="27.75" customHeight="1" x14ac:dyDescent="0.25">
      <c r="A26" s="376"/>
      <c r="B26" s="382"/>
      <c r="C26" s="185" t="s">
        <v>154</v>
      </c>
      <c r="D26" s="183">
        <f>IFERROR(D25/D18,0)</f>
        <v>3.1203320838584216E-2</v>
      </c>
      <c r="E26" s="183">
        <f>IFERROR(E25/E18,0)</f>
        <v>2.7339917605690316E-2</v>
      </c>
      <c r="F26" s="184">
        <f>E26-D26</f>
        <v>-3.8634032328939E-3</v>
      </c>
      <c r="G26" s="166"/>
    </row>
    <row r="27" spans="1:13" s="149" customFormat="1" ht="27" customHeight="1" x14ac:dyDescent="0.25">
      <c r="A27" s="376"/>
      <c r="B27" s="382" t="s">
        <v>157</v>
      </c>
      <c r="C27" s="180" t="s">
        <v>153</v>
      </c>
      <c r="D27" s="193">
        <v>0</v>
      </c>
      <c r="E27" s="187">
        <v>0</v>
      </c>
      <c r="F27" s="179">
        <f>IFERROR(E27/D27*100,0)</f>
        <v>0</v>
      </c>
      <c r="G27" s="387"/>
      <c r="H27" s="387"/>
      <c r="I27" s="387"/>
    </row>
    <row r="28" spans="1:13" s="149" customFormat="1" ht="31.5" customHeight="1" x14ac:dyDescent="0.25">
      <c r="A28" s="376"/>
      <c r="B28" s="382"/>
      <c r="C28" s="185" t="s">
        <v>154</v>
      </c>
      <c r="D28" s="183">
        <f>IFERROR(D27/D18,0)</f>
        <v>0</v>
      </c>
      <c r="E28" s="183">
        <f>IFERROR(E27/E18,0)</f>
        <v>0</v>
      </c>
      <c r="F28" s="184">
        <f>E28-D28</f>
        <v>0</v>
      </c>
      <c r="G28" s="166"/>
    </row>
    <row r="29" spans="1:13" s="149" customFormat="1" ht="23.25" customHeight="1" x14ac:dyDescent="0.25">
      <c r="A29" s="376"/>
      <c r="B29" s="382" t="s">
        <v>158</v>
      </c>
      <c r="C29" s="180" t="s">
        <v>153</v>
      </c>
      <c r="D29" s="187">
        <f>'Exec Orçamentária'!D12+'Exec Orçamentária'!D13+'Exec Orçamentária'!D14+'Exec Orçamentária'!D18</f>
        <v>72000</v>
      </c>
      <c r="E29" s="187">
        <f>'Exec Orçamentária'!F12+'Exec Orçamentária'!F13+'Exec Orçamentária'!F14+'Exec Orçamentária'!F18</f>
        <v>20750</v>
      </c>
      <c r="F29" s="179">
        <f>IFERROR(E29/D29*100,0)</f>
        <v>28.819444444444443</v>
      </c>
      <c r="G29" s="166"/>
    </row>
    <row r="30" spans="1:13" s="149" customFormat="1" ht="28.5" customHeight="1" x14ac:dyDescent="0.25">
      <c r="A30" s="376"/>
      <c r="B30" s="382"/>
      <c r="C30" s="185" t="s">
        <v>154</v>
      </c>
      <c r="D30" s="183">
        <f>IFERROR(D29/D18,0)</f>
        <v>7.2472229044453662E-2</v>
      </c>
      <c r="E30" s="183">
        <f>IFERROR(E29/E18,0)</f>
        <v>2.8365164515903703E-2</v>
      </c>
      <c r="F30" s="184">
        <f>E30-D30</f>
        <v>-4.4107064528549955E-2</v>
      </c>
      <c r="G30" s="166"/>
    </row>
    <row r="31" spans="1:13" s="149" customFormat="1" ht="24.75" customHeight="1" x14ac:dyDescent="0.25">
      <c r="A31" s="376"/>
      <c r="B31" s="388" t="s">
        <v>159</v>
      </c>
      <c r="C31" s="180" t="s">
        <v>153</v>
      </c>
      <c r="D31" s="187">
        <f>'Exec Orçamentária'!D25</f>
        <v>10650</v>
      </c>
      <c r="E31" s="187">
        <f>'Exec Orçamentária'!F25</f>
        <v>0</v>
      </c>
      <c r="F31" s="179">
        <f>IFERROR(E31/D31*100,0)</f>
        <v>0</v>
      </c>
      <c r="G31" s="166"/>
    </row>
    <row r="32" spans="1:13" s="149" customFormat="1" ht="31.5" customHeight="1" thickBot="1" x14ac:dyDescent="0.3">
      <c r="A32" s="377"/>
      <c r="B32" s="389"/>
      <c r="C32" s="190" t="s">
        <v>154</v>
      </c>
      <c r="D32" s="194">
        <f>IFERROR(D31/D18,0)</f>
        <v>1.0719850546158771E-2</v>
      </c>
      <c r="E32" s="194">
        <f>IFERROR(E31/E18,0)</f>
        <v>0</v>
      </c>
      <c r="F32" s="192">
        <f>E32-D32</f>
        <v>-1.0719850546158771E-2</v>
      </c>
      <c r="G32" s="166"/>
    </row>
    <row r="33" spans="2:2" x14ac:dyDescent="0.25">
      <c r="B33" s="195"/>
    </row>
  </sheetData>
  <mergeCells count="32">
    <mergeCell ref="A6:H6"/>
    <mergeCell ref="A7:H7"/>
    <mergeCell ref="A8:H8"/>
    <mergeCell ref="A9:H9"/>
    <mergeCell ref="A10:M10"/>
    <mergeCell ref="A11:M11"/>
    <mergeCell ref="A12:A18"/>
    <mergeCell ref="B12:C12"/>
    <mergeCell ref="H12:H15"/>
    <mergeCell ref="I12:J12"/>
    <mergeCell ref="B13:C13"/>
    <mergeCell ref="I13:J13"/>
    <mergeCell ref="B14:C14"/>
    <mergeCell ref="I14:J14"/>
    <mergeCell ref="B15:C15"/>
    <mergeCell ref="I15:J15"/>
    <mergeCell ref="B16:C16"/>
    <mergeCell ref="H16:I17"/>
    <mergeCell ref="B17:C17"/>
    <mergeCell ref="B18:C18"/>
    <mergeCell ref="A20:A32"/>
    <mergeCell ref="B20:C20"/>
    <mergeCell ref="H20:J20"/>
    <mergeCell ref="B21:B22"/>
    <mergeCell ref="H21:I22"/>
    <mergeCell ref="B27:B28"/>
    <mergeCell ref="G27:I27"/>
    <mergeCell ref="B29:B30"/>
    <mergeCell ref="B31:B32"/>
    <mergeCell ref="B23:B24"/>
    <mergeCell ref="H23:I24"/>
    <mergeCell ref="B25:B26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"/>
  <sheetViews>
    <sheetView showGridLines="0" view="pageBreakPreview" topLeftCell="A46" zoomScale="110" zoomScaleNormal="110" zoomScaleSheetLayoutView="110" workbookViewId="0">
      <selection activeCell="F37" sqref="F37"/>
    </sheetView>
  </sheetViews>
  <sheetFormatPr defaultRowHeight="15" x14ac:dyDescent="0.25"/>
  <cols>
    <col min="1" max="1" width="38" style="261" customWidth="1"/>
    <col min="2" max="2" width="9.28515625" style="261" customWidth="1"/>
    <col min="3" max="3" width="9.140625" style="261" customWidth="1"/>
    <col min="4" max="4" width="10.42578125" style="261" customWidth="1"/>
    <col min="5" max="5" width="9.5703125" style="261" customWidth="1"/>
    <col min="6" max="6" width="9.85546875" style="261" customWidth="1"/>
    <col min="7" max="7" width="9.5703125" style="261" customWidth="1"/>
    <col min="8" max="8" width="9.7109375" style="261" customWidth="1"/>
    <col min="9" max="9" width="9.42578125" style="261" customWidth="1"/>
    <col min="10" max="10" width="8.7109375" style="261" customWidth="1"/>
    <col min="11" max="11" width="4.7109375" style="261" customWidth="1"/>
    <col min="12" max="12" width="5.42578125" style="261" customWidth="1"/>
    <col min="13" max="13" width="5.28515625" style="261" customWidth="1"/>
    <col min="14" max="14" width="10.42578125" style="261" customWidth="1"/>
    <col min="15" max="16384" width="9.140625" style="261"/>
  </cols>
  <sheetData>
    <row r="1" spans="1:14" x14ac:dyDescent="0.25">
      <c r="A1" s="362" t="s">
        <v>210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15.75" thickBot="1" x14ac:dyDescent="0.3">
      <c r="A2" s="416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ht="24" thickBot="1" x14ac:dyDescent="0.3">
      <c r="A3" s="262" t="s">
        <v>168</v>
      </c>
      <c r="B3" s="264" t="s">
        <v>104</v>
      </c>
      <c r="C3" s="264" t="s">
        <v>105</v>
      </c>
      <c r="D3" s="264" t="s">
        <v>106</v>
      </c>
      <c r="E3" s="264" t="s">
        <v>107</v>
      </c>
      <c r="F3" s="264" t="s">
        <v>108</v>
      </c>
      <c r="G3" s="264" t="s">
        <v>109</v>
      </c>
      <c r="H3" s="264" t="s">
        <v>110</v>
      </c>
      <c r="I3" s="264" t="s">
        <v>112</v>
      </c>
      <c r="J3" s="264" t="s">
        <v>113</v>
      </c>
      <c r="K3" s="264" t="s">
        <v>114</v>
      </c>
      <c r="L3" s="264" t="s">
        <v>115</v>
      </c>
      <c r="M3" s="264" t="s">
        <v>116</v>
      </c>
      <c r="N3" s="264" t="s">
        <v>11</v>
      </c>
    </row>
    <row r="4" spans="1:14" x14ac:dyDescent="0.25">
      <c r="A4" s="276" t="s">
        <v>175</v>
      </c>
      <c r="B4" s="307">
        <v>6494.33</v>
      </c>
      <c r="C4" s="307"/>
      <c r="D4" s="308">
        <f>6494.33+6494.33</f>
        <v>12988.66</v>
      </c>
      <c r="E4" s="307">
        <v>6494.33</v>
      </c>
      <c r="F4" s="307">
        <v>6494.33</v>
      </c>
      <c r="G4" s="307">
        <v>6494.33</v>
      </c>
      <c r="H4" s="323">
        <v>6494.33</v>
      </c>
      <c r="I4" s="323">
        <v>6494.33</v>
      </c>
      <c r="J4" s="307"/>
      <c r="K4" s="309"/>
      <c r="L4" s="310"/>
      <c r="M4" s="307"/>
      <c r="N4" s="307">
        <f>SUM(B4:M4)</f>
        <v>51954.640000000007</v>
      </c>
    </row>
    <row r="5" spans="1:14" x14ac:dyDescent="0.25">
      <c r="A5" s="250" t="s">
        <v>219</v>
      </c>
      <c r="B5" s="261">
        <v>649.41</v>
      </c>
      <c r="C5" s="308"/>
      <c r="D5" s="261">
        <f>649.41+649.41</f>
        <v>1298.82</v>
      </c>
      <c r="E5" s="308">
        <v>649.41</v>
      </c>
      <c r="F5" s="308">
        <v>649.41</v>
      </c>
      <c r="G5" s="308">
        <v>649.41</v>
      </c>
      <c r="H5" s="324">
        <v>649.41</v>
      </c>
      <c r="I5" s="324">
        <v>649.41</v>
      </c>
      <c r="J5" s="308"/>
      <c r="K5" s="312"/>
      <c r="L5" s="313"/>
      <c r="M5" s="308"/>
      <c r="N5" s="307">
        <f t="shared" ref="N5:N30" si="0">SUM(B5:M5)</f>
        <v>5195.28</v>
      </c>
    </row>
    <row r="6" spans="1:14" x14ac:dyDescent="0.25">
      <c r="A6" s="250" t="s">
        <v>176</v>
      </c>
      <c r="B6" s="308">
        <v>2990.33</v>
      </c>
      <c r="C6" s="308"/>
      <c r="D6" s="308">
        <f>2990.33+2990.33</f>
        <v>5980.66</v>
      </c>
      <c r="E6" s="308">
        <v>2990.33</v>
      </c>
      <c r="F6" s="308">
        <v>2990.33</v>
      </c>
      <c r="G6" s="312">
        <v>2990.33</v>
      </c>
      <c r="H6" s="324">
        <v>2990.33</v>
      </c>
      <c r="I6" s="312">
        <v>2990.33</v>
      </c>
      <c r="J6" s="308"/>
      <c r="K6" s="312"/>
      <c r="L6" s="313"/>
      <c r="M6" s="308"/>
      <c r="N6" s="307">
        <f t="shared" si="0"/>
        <v>23922.639999999999</v>
      </c>
    </row>
    <row r="7" spans="1:14" x14ac:dyDescent="0.25">
      <c r="A7" s="250" t="s">
        <v>209</v>
      </c>
      <c r="B7" s="312">
        <v>895.1</v>
      </c>
      <c r="C7" s="314">
        <v>895.1</v>
      </c>
      <c r="D7" s="308">
        <v>895.1</v>
      </c>
      <c r="E7" s="308">
        <v>895.1</v>
      </c>
      <c r="F7" s="308">
        <v>895.1</v>
      </c>
      <c r="G7" s="312">
        <v>899.83</v>
      </c>
      <c r="H7" s="324">
        <v>895.1</v>
      </c>
      <c r="I7" s="324">
        <v>895.1</v>
      </c>
      <c r="J7" s="308"/>
      <c r="K7" s="312"/>
      <c r="L7" s="313"/>
      <c r="M7" s="308"/>
      <c r="N7" s="307">
        <f t="shared" si="0"/>
        <v>7165.5300000000007</v>
      </c>
    </row>
    <row r="8" spans="1:14" x14ac:dyDescent="0.25">
      <c r="A8" s="250" t="s">
        <v>174</v>
      </c>
      <c r="B8" s="308">
        <v>931.55</v>
      </c>
      <c r="C8" s="308"/>
      <c r="D8" s="308">
        <v>956.9</v>
      </c>
      <c r="E8" s="308">
        <v>1111.06</v>
      </c>
      <c r="F8" s="308">
        <v>952.43</v>
      </c>
      <c r="G8" s="312">
        <v>810.95</v>
      </c>
      <c r="H8" s="324">
        <v>599.55999999999995</v>
      </c>
      <c r="I8" s="312">
        <f>552.41+625.95</f>
        <v>1178.3600000000001</v>
      </c>
      <c r="J8" s="308"/>
      <c r="K8" s="312"/>
      <c r="L8" s="313"/>
      <c r="M8" s="308"/>
      <c r="N8" s="307">
        <f t="shared" si="0"/>
        <v>6540.8099999999995</v>
      </c>
    </row>
    <row r="9" spans="1:14" s="335" customFormat="1" x14ac:dyDescent="0.25">
      <c r="A9" s="250" t="s">
        <v>242</v>
      </c>
      <c r="B9" s="308"/>
      <c r="C9" s="308"/>
      <c r="D9" s="308"/>
      <c r="E9" s="308"/>
      <c r="F9" s="308"/>
      <c r="G9" s="312"/>
      <c r="H9" s="324"/>
      <c r="I9" s="324"/>
      <c r="J9" s="308">
        <v>99.99</v>
      </c>
      <c r="K9" s="312"/>
      <c r="L9" s="313"/>
      <c r="M9" s="308"/>
      <c r="N9" s="307"/>
    </row>
    <row r="10" spans="1:14" x14ac:dyDescent="0.25">
      <c r="A10" s="250" t="s">
        <v>190</v>
      </c>
      <c r="B10" s="308">
        <v>231.88</v>
      </c>
      <c r="C10" s="308"/>
      <c r="D10" s="308">
        <f>231.88+231.88</f>
        <v>463.76</v>
      </c>
      <c r="E10" s="308">
        <v>231.88</v>
      </c>
      <c r="F10" s="308">
        <v>261.52</v>
      </c>
      <c r="G10" s="312">
        <v>239.46</v>
      </c>
      <c r="H10" s="324">
        <v>231.88</v>
      </c>
      <c r="I10" s="312">
        <v>223.98</v>
      </c>
      <c r="J10" s="308"/>
      <c r="K10" s="312"/>
      <c r="L10" s="313"/>
      <c r="M10" s="308"/>
      <c r="N10" s="307">
        <f t="shared" si="0"/>
        <v>1884.3600000000001</v>
      </c>
    </row>
    <row r="11" spans="1:14" x14ac:dyDescent="0.25">
      <c r="A11" s="250" t="s">
        <v>191</v>
      </c>
      <c r="B11" s="308">
        <v>2500</v>
      </c>
      <c r="C11" s="308"/>
      <c r="D11" s="308">
        <f>2500+2500</f>
        <v>5000</v>
      </c>
      <c r="E11" s="308">
        <v>2500</v>
      </c>
      <c r="F11" s="308">
        <v>2500</v>
      </c>
      <c r="G11" s="312">
        <v>2500</v>
      </c>
      <c r="H11" s="312">
        <v>2500</v>
      </c>
      <c r="I11" s="324">
        <v>2500</v>
      </c>
      <c r="J11" s="308"/>
      <c r="K11" s="312"/>
      <c r="L11" s="313"/>
      <c r="M11" s="308"/>
      <c r="N11" s="307">
        <f t="shared" si="0"/>
        <v>20000</v>
      </c>
    </row>
    <row r="12" spans="1:14" x14ac:dyDescent="0.25">
      <c r="A12" s="250" t="s">
        <v>169</v>
      </c>
      <c r="B12" s="308"/>
      <c r="C12" s="308">
        <v>980</v>
      </c>
      <c r="D12" s="308">
        <v>980</v>
      </c>
      <c r="E12" s="308">
        <v>980</v>
      </c>
      <c r="F12" s="308">
        <v>980</v>
      </c>
      <c r="G12" s="312">
        <v>980</v>
      </c>
      <c r="H12" s="312">
        <v>980</v>
      </c>
      <c r="I12" s="324">
        <v>980</v>
      </c>
      <c r="J12" s="308">
        <v>980</v>
      </c>
      <c r="K12" s="311"/>
      <c r="L12" s="313"/>
      <c r="M12" s="308"/>
      <c r="N12" s="307">
        <f t="shared" si="0"/>
        <v>7840</v>
      </c>
    </row>
    <row r="13" spans="1:14" x14ac:dyDescent="0.25">
      <c r="A13" s="250" t="s">
        <v>208</v>
      </c>
      <c r="B13" s="312">
        <v>3955</v>
      </c>
      <c r="C13" s="308"/>
      <c r="D13" s="308">
        <v>3955</v>
      </c>
      <c r="E13" s="308"/>
      <c r="F13" s="308">
        <f>3955+3955</f>
        <v>7910</v>
      </c>
      <c r="G13" s="312">
        <v>3955</v>
      </c>
      <c r="H13" s="312">
        <v>3955</v>
      </c>
      <c r="I13" s="312">
        <f>3955+3955</f>
        <v>7910</v>
      </c>
      <c r="J13" s="308"/>
      <c r="K13" s="311"/>
      <c r="L13" s="313"/>
      <c r="M13" s="308"/>
      <c r="N13" s="307">
        <f t="shared" si="0"/>
        <v>31640</v>
      </c>
    </row>
    <row r="14" spans="1:14" x14ac:dyDescent="0.25">
      <c r="A14" s="250" t="s">
        <v>170</v>
      </c>
      <c r="B14" s="308"/>
      <c r="C14" s="308">
        <v>3504.6</v>
      </c>
      <c r="D14" s="308">
        <f>3504.6+3504.6</f>
        <v>7009.2</v>
      </c>
      <c r="E14" s="308">
        <v>3504.6</v>
      </c>
      <c r="F14" s="308">
        <v>3504.6</v>
      </c>
      <c r="G14" s="312">
        <v>3504.6</v>
      </c>
      <c r="H14" s="324">
        <v>3504.6</v>
      </c>
      <c r="I14" s="312">
        <v>3504.6</v>
      </c>
      <c r="J14" s="308"/>
      <c r="K14" s="312"/>
      <c r="L14" s="313"/>
      <c r="M14" s="308"/>
      <c r="N14" s="307">
        <f t="shared" si="0"/>
        <v>28036.799999999996</v>
      </c>
    </row>
    <row r="15" spans="1:14" x14ac:dyDescent="0.25">
      <c r="A15" s="250" t="s">
        <v>171</v>
      </c>
      <c r="B15" s="308"/>
      <c r="C15" s="308">
        <v>1328.88</v>
      </c>
      <c r="D15" s="308">
        <v>1328.88</v>
      </c>
      <c r="E15" s="308">
        <v>1328.88</v>
      </c>
      <c r="F15" s="308">
        <v>1328.88</v>
      </c>
      <c r="G15" s="312">
        <v>1328.88</v>
      </c>
      <c r="H15" s="312">
        <v>1328.88</v>
      </c>
      <c r="I15" s="312">
        <v>1328.88</v>
      </c>
      <c r="J15" s="312">
        <v>1328.88</v>
      </c>
      <c r="K15" s="312"/>
      <c r="L15" s="313"/>
      <c r="M15" s="308"/>
      <c r="N15" s="307">
        <f t="shared" si="0"/>
        <v>10631.04</v>
      </c>
    </row>
    <row r="16" spans="1:14" x14ac:dyDescent="0.25">
      <c r="A16" s="250" t="s">
        <v>172</v>
      </c>
      <c r="B16" s="308"/>
      <c r="C16" s="308">
        <f>63</f>
        <v>63</v>
      </c>
      <c r="D16" s="308">
        <f>130+63+126</f>
        <v>319</v>
      </c>
      <c r="E16" s="308">
        <v>130</v>
      </c>
      <c r="F16" s="308">
        <v>195</v>
      </c>
      <c r="G16" s="312">
        <v>195</v>
      </c>
      <c r="H16" s="324">
        <v>195</v>
      </c>
      <c r="I16" s="312">
        <v>195</v>
      </c>
      <c r="J16" s="308"/>
      <c r="K16" s="312"/>
      <c r="L16" s="313"/>
      <c r="M16" s="308"/>
      <c r="N16" s="307">
        <f t="shared" si="0"/>
        <v>1292</v>
      </c>
    </row>
    <row r="17" spans="1:14" x14ac:dyDescent="0.25">
      <c r="A17" s="250" t="s">
        <v>173</v>
      </c>
      <c r="B17" s="308">
        <v>756.85</v>
      </c>
      <c r="C17" s="314"/>
      <c r="D17" s="308">
        <f>883.72+814.96</f>
        <v>1698.68</v>
      </c>
      <c r="E17" s="308">
        <v>805.84</v>
      </c>
      <c r="F17" s="308">
        <v>838.78</v>
      </c>
      <c r="G17" s="312">
        <v>850.48</v>
      </c>
      <c r="H17" s="312">
        <v>760.83</v>
      </c>
      <c r="I17" s="312">
        <v>980.51</v>
      </c>
      <c r="J17" s="308"/>
      <c r="K17" s="312"/>
      <c r="L17" s="313"/>
      <c r="M17" s="308"/>
      <c r="N17" s="307">
        <f t="shared" si="0"/>
        <v>6691.9700000000012</v>
      </c>
    </row>
    <row r="18" spans="1:14" x14ac:dyDescent="0.25">
      <c r="A18" s="250" t="s">
        <v>177</v>
      </c>
      <c r="B18" s="308"/>
      <c r="C18" s="314">
        <v>75.790000000000006</v>
      </c>
      <c r="D18" s="308"/>
      <c r="E18" s="308"/>
      <c r="F18" s="308">
        <f>224.43+402.31+1332.85</f>
        <v>1959.59</v>
      </c>
      <c r="G18" s="312">
        <v>1033.3699999999999</v>
      </c>
      <c r="H18" s="312">
        <v>367.95</v>
      </c>
      <c r="I18" s="312">
        <v>466.88</v>
      </c>
      <c r="J18" s="308"/>
      <c r="K18" s="312"/>
      <c r="L18" s="313"/>
      <c r="M18" s="308"/>
      <c r="N18" s="307">
        <f t="shared" si="0"/>
        <v>3903.58</v>
      </c>
    </row>
    <row r="19" spans="1:14" x14ac:dyDescent="0.25">
      <c r="A19" s="250" t="s">
        <v>178</v>
      </c>
      <c r="B19" s="308"/>
      <c r="C19" s="308"/>
      <c r="D19" s="308"/>
      <c r="E19" s="308">
        <f>53.68+139.1</f>
        <v>192.78</v>
      </c>
      <c r="F19" s="308">
        <v>23.42</v>
      </c>
      <c r="G19" s="312">
        <v>107.85</v>
      </c>
      <c r="H19" s="324">
        <v>38.4</v>
      </c>
      <c r="I19" s="312">
        <v>48.72</v>
      </c>
      <c r="J19" s="308"/>
      <c r="K19" s="312"/>
      <c r="L19" s="313"/>
      <c r="M19" s="308"/>
      <c r="N19" s="307">
        <f t="shared" si="0"/>
        <v>411.16999999999996</v>
      </c>
    </row>
    <row r="20" spans="1:14" x14ac:dyDescent="0.25">
      <c r="A20" s="250" t="s">
        <v>186</v>
      </c>
      <c r="B20" s="308"/>
      <c r="C20" s="308">
        <v>400</v>
      </c>
      <c r="D20" s="308">
        <v>400</v>
      </c>
      <c r="E20" s="308">
        <v>400</v>
      </c>
      <c r="F20" s="308">
        <v>400</v>
      </c>
      <c r="G20" s="312">
        <v>400</v>
      </c>
      <c r="H20" s="324">
        <v>400</v>
      </c>
      <c r="I20" s="312">
        <v>400</v>
      </c>
      <c r="J20" s="308"/>
      <c r="K20" s="312"/>
      <c r="L20" s="313"/>
      <c r="M20" s="308"/>
      <c r="N20" s="307">
        <f t="shared" si="0"/>
        <v>2800</v>
      </c>
    </row>
    <row r="21" spans="1:14" x14ac:dyDescent="0.25">
      <c r="A21" s="250" t="s">
        <v>189</v>
      </c>
      <c r="B21" s="308"/>
      <c r="C21" s="308">
        <v>400</v>
      </c>
      <c r="D21" s="308">
        <v>400</v>
      </c>
      <c r="E21" s="308"/>
      <c r="F21" s="308">
        <v>600</v>
      </c>
      <c r="G21" s="308"/>
      <c r="H21" s="312"/>
      <c r="I21" s="324">
        <v>400</v>
      </c>
      <c r="J21" s="308">
        <v>400</v>
      </c>
      <c r="K21" s="308"/>
      <c r="L21" s="312"/>
      <c r="M21" s="313"/>
      <c r="N21" s="307">
        <f t="shared" si="0"/>
        <v>2200</v>
      </c>
    </row>
    <row r="22" spans="1:14" x14ac:dyDescent="0.25">
      <c r="A22" s="250" t="s">
        <v>179</v>
      </c>
      <c r="B22" s="308">
        <f>4290.48+4963.84+4290.48+4290.48+1322.04+4290.48</f>
        <v>23447.8</v>
      </c>
      <c r="C22" s="314"/>
      <c r="D22" s="308">
        <f>5146.45+4213.32+4325.79+4325.79+1353.94+4325.79+2228.33+4513.62+4513.62+4513.62+4513.62+1404.84</f>
        <v>45378.73</v>
      </c>
      <c r="E22" s="308">
        <v>22176.34</v>
      </c>
      <c r="F22" s="308">
        <v>23404.1</v>
      </c>
      <c r="G22" s="308">
        <f>100+4513.62+5249.49+1820.86+3264.95+1404.84+4513.62</f>
        <v>20867.38</v>
      </c>
      <c r="H22" s="312">
        <f>4513.62+5249.49+4513.62+4513.62+4513.62+89.65</f>
        <v>23393.62</v>
      </c>
      <c r="I22" s="312">
        <f>5249.49+4513.62+4513.62+3267.7+1360.18+3117.41</f>
        <v>22022.02</v>
      </c>
      <c r="J22" s="308"/>
      <c r="K22" s="308"/>
      <c r="L22" s="308"/>
      <c r="M22" s="308"/>
      <c r="N22" s="307">
        <f t="shared" si="0"/>
        <v>180689.99</v>
      </c>
    </row>
    <row r="23" spans="1:14" s="306" customFormat="1" x14ac:dyDescent="0.25">
      <c r="A23" s="250" t="s">
        <v>226</v>
      </c>
      <c r="B23" s="308"/>
      <c r="C23" s="251">
        <v>7525.1</v>
      </c>
      <c r="D23" s="308">
        <v>6589.89</v>
      </c>
      <c r="E23" s="308"/>
      <c r="F23" s="308">
        <v>4035.29</v>
      </c>
      <c r="G23" s="308">
        <f>6556.44+1793</f>
        <v>8349.4399999999987</v>
      </c>
      <c r="H23" s="312">
        <v>0</v>
      </c>
      <c r="I23" s="312">
        <f>5810.97+2182.92</f>
        <v>7993.89</v>
      </c>
      <c r="J23" s="308"/>
      <c r="K23" s="308"/>
      <c r="L23" s="308"/>
      <c r="M23" s="308"/>
      <c r="N23" s="307">
        <f t="shared" si="0"/>
        <v>34493.61</v>
      </c>
    </row>
    <row r="24" spans="1:14" x14ac:dyDescent="0.25">
      <c r="A24" s="250" t="s">
        <v>180</v>
      </c>
      <c r="B24" s="308"/>
      <c r="C24" s="314"/>
      <c r="D24" s="308"/>
      <c r="E24" s="308"/>
      <c r="F24" s="308"/>
      <c r="G24" s="308"/>
      <c r="H24" s="312"/>
      <c r="I24" s="312"/>
      <c r="J24" s="308"/>
      <c r="K24" s="312"/>
      <c r="L24" s="313"/>
      <c r="M24" s="308"/>
      <c r="N24" s="307">
        <f t="shared" si="0"/>
        <v>0</v>
      </c>
    </row>
    <row r="25" spans="1:14" x14ac:dyDescent="0.25">
      <c r="A25" s="250" t="s">
        <v>181</v>
      </c>
      <c r="B25" s="308">
        <f>800+800</f>
        <v>1600</v>
      </c>
      <c r="C25" s="308"/>
      <c r="D25" s="308">
        <f>800+800+800+800</f>
        <v>3200</v>
      </c>
      <c r="E25" s="308">
        <v>1600</v>
      </c>
      <c r="F25" s="308">
        <v>1600</v>
      </c>
      <c r="G25" s="308">
        <f>774.19+800+800+693.34</f>
        <v>3067.53</v>
      </c>
      <c r="H25" s="312">
        <f>593.54+800+800+338.71</f>
        <v>2532.25</v>
      </c>
      <c r="I25" s="312">
        <f>619.36+800</f>
        <v>1419.3600000000001</v>
      </c>
      <c r="J25" s="308">
        <v>975</v>
      </c>
      <c r="K25" s="312"/>
      <c r="L25" s="313"/>
      <c r="M25" s="308"/>
      <c r="N25" s="307">
        <f t="shared" si="0"/>
        <v>15994.140000000001</v>
      </c>
    </row>
    <row r="26" spans="1:14" x14ac:dyDescent="0.25">
      <c r="A26" s="250" t="s">
        <v>182</v>
      </c>
      <c r="B26" s="308">
        <v>9125.49</v>
      </c>
      <c r="C26" s="308"/>
      <c r="D26" s="308">
        <f>9627.66+9947.43</f>
        <v>19575.09</v>
      </c>
      <c r="E26" s="308">
        <v>9864.75</v>
      </c>
      <c r="F26" s="308">
        <v>9742.17</v>
      </c>
      <c r="G26" s="308">
        <v>10009.370000000001</v>
      </c>
      <c r="H26" s="312">
        <v>9773.0400000000009</v>
      </c>
      <c r="I26" s="312">
        <v>9886.89</v>
      </c>
      <c r="J26" s="308"/>
      <c r="K26" s="312"/>
      <c r="L26" s="313"/>
      <c r="M26" s="308"/>
      <c r="N26" s="307">
        <f t="shared" si="0"/>
        <v>77976.800000000003</v>
      </c>
    </row>
    <row r="27" spans="1:14" x14ac:dyDescent="0.25">
      <c r="A27" s="250" t="s">
        <v>183</v>
      </c>
      <c r="B27" s="308">
        <v>2312.08</v>
      </c>
      <c r="C27" s="308"/>
      <c r="D27" s="308">
        <f>2462.2+2584.02</f>
        <v>5046.2199999999993</v>
      </c>
      <c r="E27" s="308">
        <v>2552.52</v>
      </c>
      <c r="F27" s="308">
        <v>2505.83</v>
      </c>
      <c r="G27" s="308">
        <v>2607.62</v>
      </c>
      <c r="H27" s="312">
        <v>2495.4499999999998</v>
      </c>
      <c r="I27" s="312">
        <v>2560.46</v>
      </c>
      <c r="J27" s="308"/>
      <c r="K27" s="312"/>
      <c r="L27" s="313"/>
      <c r="M27" s="308"/>
      <c r="N27" s="307">
        <f t="shared" si="0"/>
        <v>20080.18</v>
      </c>
    </row>
    <row r="28" spans="1:14" x14ac:dyDescent="0.25">
      <c r="A28" s="250" t="s">
        <v>184</v>
      </c>
      <c r="B28" s="308">
        <v>289.01</v>
      </c>
      <c r="C28" s="308"/>
      <c r="D28" s="308">
        <f>307.78+323</f>
        <v>630.78</v>
      </c>
      <c r="E28" s="308">
        <v>319.07</v>
      </c>
      <c r="F28" s="308">
        <v>313.23</v>
      </c>
      <c r="G28" s="308">
        <v>325.95</v>
      </c>
      <c r="H28" s="324">
        <v>311.93</v>
      </c>
      <c r="I28" s="312">
        <v>320.06</v>
      </c>
      <c r="J28" s="308"/>
      <c r="K28" s="312"/>
      <c r="L28" s="313"/>
      <c r="M28" s="308"/>
      <c r="N28" s="307">
        <f t="shared" si="0"/>
        <v>2510.0299999999997</v>
      </c>
    </row>
    <row r="29" spans="1:14" x14ac:dyDescent="0.25">
      <c r="A29" s="250" t="s">
        <v>185</v>
      </c>
      <c r="B29" s="308">
        <v>2396.92</v>
      </c>
      <c r="C29" s="308"/>
      <c r="D29" s="308">
        <f>2756.74+3166.46</f>
        <v>5923.2</v>
      </c>
      <c r="E29" s="308">
        <v>2330.89</v>
      </c>
      <c r="F29" s="308">
        <v>2848.12</v>
      </c>
      <c r="G29" s="308">
        <v>2343.61</v>
      </c>
      <c r="H29" s="324">
        <v>2843.83</v>
      </c>
      <c r="I29" s="312">
        <v>3137.57</v>
      </c>
      <c r="J29" s="308"/>
      <c r="K29" s="312"/>
      <c r="L29" s="313"/>
      <c r="M29" s="308"/>
      <c r="N29" s="307">
        <f t="shared" si="0"/>
        <v>21824.14</v>
      </c>
    </row>
    <row r="30" spans="1:14" x14ac:dyDescent="0.25">
      <c r="A30" s="250" t="s">
        <v>188</v>
      </c>
      <c r="B30" s="308">
        <v>500</v>
      </c>
      <c r="C30" s="308">
        <v>500</v>
      </c>
      <c r="D30" s="308">
        <v>500</v>
      </c>
      <c r="E30" s="308">
        <v>500</v>
      </c>
      <c r="F30" s="308">
        <v>500</v>
      </c>
      <c r="G30" s="308">
        <v>500</v>
      </c>
      <c r="H30" s="324">
        <v>500</v>
      </c>
      <c r="I30" s="312">
        <v>500</v>
      </c>
      <c r="J30" s="308"/>
      <c r="K30" s="312"/>
      <c r="L30" s="313"/>
      <c r="M30" s="308"/>
      <c r="N30" s="307">
        <f t="shared" si="0"/>
        <v>4000</v>
      </c>
    </row>
    <row r="31" spans="1:14" x14ac:dyDescent="0.25">
      <c r="A31" s="250" t="s">
        <v>187</v>
      </c>
      <c r="B31" s="308">
        <v>0.95</v>
      </c>
      <c r="C31" s="315">
        <f>8.8+2.8+8.8+8.8</f>
        <v>29.200000000000003</v>
      </c>
      <c r="D31" s="316">
        <f>8.8+0.95+0.95+8.8+8.8</f>
        <v>28.3</v>
      </c>
      <c r="E31" s="316">
        <v>37.1</v>
      </c>
      <c r="F31" s="316">
        <v>44.95</v>
      </c>
      <c r="G31" s="316">
        <f>0.95+8.8+8.8+8.8</f>
        <v>27.35</v>
      </c>
      <c r="H31" s="315">
        <f>8.8+8.8+8.8+0.95+8.8</f>
        <v>36.150000000000006</v>
      </c>
      <c r="I31" s="336">
        <f>9.4+9.4+9.4+2</f>
        <v>30.200000000000003</v>
      </c>
      <c r="J31" s="315">
        <f>9.4+9.4</f>
        <v>18.8</v>
      </c>
      <c r="K31" s="315"/>
      <c r="L31" s="317"/>
      <c r="M31" s="315"/>
      <c r="N31" s="307">
        <f>SUM(B31:M31)</f>
        <v>253</v>
      </c>
    </row>
    <row r="32" spans="1:14" x14ac:dyDescent="0.25">
      <c r="A32" s="270" t="s">
        <v>192</v>
      </c>
      <c r="B32" s="271">
        <f>SUM(B4:B31)</f>
        <v>59076.7</v>
      </c>
      <c r="C32" s="271">
        <f>SUM(C4:C31)</f>
        <v>15701.670000000002</v>
      </c>
      <c r="D32" s="271">
        <f>SUM(D4:D31)</f>
        <v>130546.87</v>
      </c>
      <c r="E32" s="271">
        <f t="shared" ref="E32:N32" si="1">SUM(E4:E31)</f>
        <v>61594.879999999997</v>
      </c>
      <c r="F32" s="271">
        <f t="shared" si="1"/>
        <v>77477.079999999987</v>
      </c>
      <c r="G32" s="271">
        <f t="shared" si="1"/>
        <v>75037.739999999991</v>
      </c>
      <c r="H32" s="271">
        <f>SUM(H4:H31)</f>
        <v>67777.539999999994</v>
      </c>
      <c r="I32" s="271">
        <f t="shared" si="1"/>
        <v>79016.550000000017</v>
      </c>
      <c r="J32" s="271">
        <f t="shared" si="1"/>
        <v>3802.67</v>
      </c>
      <c r="K32" s="271">
        <f t="shared" si="1"/>
        <v>0</v>
      </c>
      <c r="L32" s="271">
        <f t="shared" si="1"/>
        <v>0</v>
      </c>
      <c r="M32" s="271">
        <f t="shared" si="1"/>
        <v>0</v>
      </c>
      <c r="N32" s="271">
        <f t="shared" si="1"/>
        <v>569931.71000000008</v>
      </c>
    </row>
    <row r="33" spans="1:14" ht="10.5" customHeight="1" thickBot="1" x14ac:dyDescent="0.3">
      <c r="A33" s="265"/>
      <c r="B33" s="254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255"/>
      <c r="N33" s="257"/>
    </row>
    <row r="34" spans="1:14" ht="27" customHeight="1" thickBot="1" x14ac:dyDescent="0.3">
      <c r="A34" s="262" t="s">
        <v>193</v>
      </c>
      <c r="B34" s="264" t="s">
        <v>104</v>
      </c>
      <c r="C34" s="264" t="s">
        <v>105</v>
      </c>
      <c r="D34" s="264" t="s">
        <v>106</v>
      </c>
      <c r="E34" s="264" t="s">
        <v>107</v>
      </c>
      <c r="F34" s="264" t="s">
        <v>108</v>
      </c>
      <c r="G34" s="264" t="s">
        <v>109</v>
      </c>
      <c r="H34" s="264" t="s">
        <v>110</v>
      </c>
      <c r="I34" s="264" t="s">
        <v>112</v>
      </c>
      <c r="J34" s="264" t="s">
        <v>113</v>
      </c>
      <c r="K34" s="264" t="s">
        <v>114</v>
      </c>
      <c r="L34" s="264" t="s">
        <v>115</v>
      </c>
      <c r="M34" s="264" t="s">
        <v>116</v>
      </c>
      <c r="N34" s="264" t="s">
        <v>11</v>
      </c>
    </row>
    <row r="35" spans="1:14" s="79" customFormat="1" ht="18" customHeight="1" x14ac:dyDescent="0.35">
      <c r="A35" s="270" t="s">
        <v>228</v>
      </c>
      <c r="B35" s="271">
        <f>SUM(B36:B39)</f>
        <v>1500</v>
      </c>
      <c r="C35" s="271">
        <f t="shared" ref="C35:N35" si="2">SUM(C36:C39)</f>
        <v>3236</v>
      </c>
      <c r="D35" s="271">
        <f t="shared" si="2"/>
        <v>4050</v>
      </c>
      <c r="E35" s="271">
        <f t="shared" si="2"/>
        <v>4800</v>
      </c>
      <c r="F35" s="271">
        <f t="shared" si="2"/>
        <v>2700</v>
      </c>
      <c r="G35" s="271">
        <f t="shared" si="2"/>
        <v>2400</v>
      </c>
      <c r="H35" s="271">
        <f>SUM(H36:H39)</f>
        <v>13460</v>
      </c>
      <c r="I35" s="271">
        <f t="shared" si="2"/>
        <v>3900</v>
      </c>
      <c r="J35" s="271">
        <f t="shared" si="2"/>
        <v>0</v>
      </c>
      <c r="K35" s="271">
        <f t="shared" si="2"/>
        <v>0</v>
      </c>
      <c r="L35" s="271">
        <f t="shared" si="2"/>
        <v>0</v>
      </c>
      <c r="M35" s="271">
        <f t="shared" si="2"/>
        <v>0</v>
      </c>
      <c r="N35" s="271">
        <f t="shared" si="2"/>
        <v>36046</v>
      </c>
    </row>
    <row r="36" spans="1:14" s="320" customFormat="1" x14ac:dyDescent="0.25">
      <c r="A36" s="273" t="s">
        <v>229</v>
      </c>
      <c r="B36" s="124"/>
      <c r="C36" s="251">
        <v>686</v>
      </c>
      <c r="D36" s="274">
        <v>750</v>
      </c>
      <c r="E36" s="274"/>
      <c r="F36" s="274">
        <v>600</v>
      </c>
      <c r="G36" s="274"/>
      <c r="H36" s="275">
        <f>3430+3430</f>
        <v>6860</v>
      </c>
      <c r="I36" s="274"/>
      <c r="J36" s="274"/>
      <c r="K36" s="274"/>
      <c r="L36" s="319"/>
      <c r="M36" s="274"/>
      <c r="N36" s="274">
        <f>SUM(B36:M36)</f>
        <v>8896</v>
      </c>
    </row>
    <row r="37" spans="1:14" s="320" customFormat="1" x14ac:dyDescent="0.25">
      <c r="A37" s="273" t="s">
        <v>230</v>
      </c>
      <c r="B37" s="251"/>
      <c r="C37" s="251"/>
      <c r="D37" s="274"/>
      <c r="E37" s="274">
        <v>3000</v>
      </c>
      <c r="F37" s="274">
        <v>1200</v>
      </c>
      <c r="G37" s="274">
        <v>2400</v>
      </c>
      <c r="H37" s="275">
        <f>4200+2400</f>
        <v>6600</v>
      </c>
      <c r="I37" s="275">
        <f>900+900+1800+150+150</f>
        <v>3900</v>
      </c>
      <c r="J37" s="274"/>
      <c r="K37" s="274"/>
      <c r="L37" s="319"/>
      <c r="M37" s="274"/>
      <c r="N37" s="274">
        <f t="shared" ref="N37:N43" si="3">SUM(B37:M37)</f>
        <v>17100</v>
      </c>
    </row>
    <row r="38" spans="1:14" s="320" customFormat="1" x14ac:dyDescent="0.25">
      <c r="A38" s="273" t="s">
        <v>231</v>
      </c>
      <c r="B38" s="251">
        <f>750+750</f>
        <v>1500</v>
      </c>
      <c r="C38" s="251">
        <v>750</v>
      </c>
      <c r="D38" s="274">
        <f>1200+1200+900</f>
        <v>3300</v>
      </c>
      <c r="E38" s="274">
        <f>900+900</f>
        <v>1800</v>
      </c>
      <c r="F38" s="274">
        <v>900</v>
      </c>
      <c r="G38" s="274"/>
      <c r="H38" s="274"/>
      <c r="I38" s="274"/>
      <c r="J38" s="274"/>
      <c r="K38" s="274"/>
      <c r="L38" s="319"/>
      <c r="M38" s="274"/>
      <c r="N38" s="274">
        <f t="shared" si="3"/>
        <v>8250</v>
      </c>
    </row>
    <row r="39" spans="1:14" s="320" customFormat="1" x14ac:dyDescent="0.25">
      <c r="A39" s="273" t="s">
        <v>232</v>
      </c>
      <c r="B39" s="274"/>
      <c r="C39" s="274">
        <v>1800</v>
      </c>
      <c r="D39" s="274"/>
      <c r="E39" s="274"/>
      <c r="F39" s="274"/>
      <c r="G39" s="274"/>
      <c r="H39" s="274"/>
      <c r="I39" s="274"/>
      <c r="J39" s="274"/>
      <c r="K39" s="274"/>
      <c r="L39" s="319"/>
      <c r="M39" s="274"/>
      <c r="N39" s="274">
        <f t="shared" si="3"/>
        <v>1800</v>
      </c>
    </row>
    <row r="40" spans="1:14" s="79" customFormat="1" ht="18" customHeight="1" x14ac:dyDescent="0.35">
      <c r="A40" s="270" t="s">
        <v>233</v>
      </c>
      <c r="B40" s="271">
        <f>SUM(B41:B43)</f>
        <v>1186.73</v>
      </c>
      <c r="C40" s="271">
        <f>SUM(C41:C43)</f>
        <v>1204.4100000000001</v>
      </c>
      <c r="D40" s="271">
        <f>SUM(D41:D43)</f>
        <v>1373.97</v>
      </c>
      <c r="E40" s="271">
        <f t="shared" ref="E40:N40" si="4">SUM(E41:E43)</f>
        <v>1321.77</v>
      </c>
      <c r="F40" s="271">
        <f t="shared" si="4"/>
        <v>869.89</v>
      </c>
      <c r="G40" s="271">
        <f t="shared" si="4"/>
        <v>0</v>
      </c>
      <c r="H40" s="271">
        <f>SUM(H41:H43)</f>
        <v>839.61</v>
      </c>
      <c r="I40" s="271">
        <f t="shared" si="4"/>
        <v>3633.37</v>
      </c>
      <c r="J40" s="271">
        <f t="shared" si="4"/>
        <v>0</v>
      </c>
      <c r="K40" s="271">
        <f t="shared" si="4"/>
        <v>0</v>
      </c>
      <c r="L40" s="271">
        <f t="shared" si="4"/>
        <v>0</v>
      </c>
      <c r="M40" s="271">
        <f t="shared" si="4"/>
        <v>0</v>
      </c>
      <c r="N40" s="271">
        <f t="shared" si="4"/>
        <v>10429.75</v>
      </c>
    </row>
    <row r="41" spans="1:14" s="318" customFormat="1" x14ac:dyDescent="0.25">
      <c r="A41" s="269" t="s">
        <v>229</v>
      </c>
      <c r="B41" s="251">
        <v>1186.73</v>
      </c>
      <c r="C41" s="251"/>
      <c r="D41" s="251"/>
      <c r="E41" s="251"/>
      <c r="F41" s="251"/>
      <c r="G41" s="251"/>
      <c r="H41" s="251"/>
      <c r="I41" s="251"/>
      <c r="J41" s="251"/>
      <c r="K41" s="252"/>
      <c r="L41" s="253"/>
      <c r="M41" s="251"/>
      <c r="N41" s="275">
        <f t="shared" si="3"/>
        <v>1186.73</v>
      </c>
    </row>
    <row r="42" spans="1:14" s="318" customFormat="1" x14ac:dyDescent="0.25">
      <c r="A42" s="269" t="s">
        <v>230</v>
      </c>
      <c r="B42" s="251"/>
      <c r="C42" s="251"/>
      <c r="D42" s="251"/>
      <c r="E42" s="251">
        <v>1321.77</v>
      </c>
      <c r="F42" s="251">
        <v>869.89</v>
      </c>
      <c r="G42" s="251"/>
      <c r="H42" s="252">
        <v>839.61</v>
      </c>
      <c r="I42" s="252">
        <f>1200.51+1425.93+1006.93</f>
        <v>3633.37</v>
      </c>
      <c r="J42" s="251"/>
      <c r="K42" s="252"/>
      <c r="L42" s="253"/>
      <c r="M42" s="251"/>
      <c r="N42" s="275">
        <f t="shared" si="3"/>
        <v>6664.6399999999994</v>
      </c>
    </row>
    <row r="43" spans="1:14" s="318" customFormat="1" x14ac:dyDescent="0.25">
      <c r="A43" s="269" t="s">
        <v>232</v>
      </c>
      <c r="B43" s="251"/>
      <c r="C43" s="251">
        <v>1204.4100000000001</v>
      </c>
      <c r="D43" s="251">
        <f>1373.97</f>
        <v>1373.97</v>
      </c>
      <c r="E43" s="251"/>
      <c r="F43" s="251"/>
      <c r="G43" s="251"/>
      <c r="H43" s="251"/>
      <c r="I43" s="251"/>
      <c r="J43" s="251"/>
      <c r="K43" s="252"/>
      <c r="L43" s="253"/>
      <c r="M43" s="251"/>
      <c r="N43" s="275">
        <f t="shared" si="3"/>
        <v>2578.38</v>
      </c>
    </row>
    <row r="44" spans="1:14" s="79" customFormat="1" ht="18" customHeight="1" x14ac:dyDescent="0.35">
      <c r="A44" s="270" t="s">
        <v>215</v>
      </c>
      <c r="B44" s="271">
        <f>SUM(B45:B46)</f>
        <v>0</v>
      </c>
      <c r="C44" s="271">
        <f t="shared" ref="C44:N44" si="5">SUM(C45:C46)</f>
        <v>294.76</v>
      </c>
      <c r="D44" s="271">
        <f t="shared" si="5"/>
        <v>0</v>
      </c>
      <c r="E44" s="271">
        <f t="shared" si="5"/>
        <v>128.69999999999999</v>
      </c>
      <c r="F44" s="271">
        <f t="shared" si="5"/>
        <v>218.57999999999998</v>
      </c>
      <c r="G44" s="271">
        <f t="shared" si="5"/>
        <v>0</v>
      </c>
      <c r="H44" s="271">
        <f t="shared" si="5"/>
        <v>0</v>
      </c>
      <c r="I44" s="271">
        <f t="shared" si="5"/>
        <v>0</v>
      </c>
      <c r="J44" s="271">
        <f t="shared" si="5"/>
        <v>0</v>
      </c>
      <c r="K44" s="271">
        <f t="shared" si="5"/>
        <v>0</v>
      </c>
      <c r="L44" s="271">
        <f t="shared" si="5"/>
        <v>0</v>
      </c>
      <c r="M44" s="271">
        <f t="shared" si="5"/>
        <v>0</v>
      </c>
      <c r="N44" s="271">
        <f t="shared" si="5"/>
        <v>642.04</v>
      </c>
    </row>
    <row r="45" spans="1:14" x14ac:dyDescent="0.25">
      <c r="A45" s="269" t="s">
        <v>222</v>
      </c>
      <c r="B45" s="251"/>
      <c r="C45" s="251">
        <f>137.44+157.32</f>
        <v>294.76</v>
      </c>
      <c r="D45" s="251"/>
      <c r="E45" s="251">
        <v>128.69999999999999</v>
      </c>
      <c r="F45" s="251">
        <f>95.97+122.61</f>
        <v>218.57999999999998</v>
      </c>
      <c r="G45" s="251"/>
      <c r="H45" s="251"/>
      <c r="I45" s="251"/>
      <c r="J45" s="251"/>
      <c r="K45" s="252"/>
      <c r="L45" s="253"/>
      <c r="M45" s="251"/>
      <c r="N45" s="251">
        <f>SUM(B45:M45)</f>
        <v>642.04</v>
      </c>
    </row>
    <row r="46" spans="1:14" s="306" customFormat="1" x14ac:dyDescent="0.25">
      <c r="A46" s="269" t="s">
        <v>223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2"/>
      <c r="L46" s="253"/>
      <c r="M46" s="251"/>
      <c r="N46" s="251">
        <f>SUM(B46:M46)</f>
        <v>0</v>
      </c>
    </row>
    <row r="47" spans="1:14" s="79" customFormat="1" ht="18" customHeight="1" x14ac:dyDescent="0.35">
      <c r="A47" s="270" t="s">
        <v>216</v>
      </c>
      <c r="B47" s="271">
        <f t="shared" ref="B47:N47" si="6">SUM(B48:B58)</f>
        <v>379.51</v>
      </c>
      <c r="C47" s="271">
        <f t="shared" si="6"/>
        <v>397.38</v>
      </c>
      <c r="D47" s="271">
        <f t="shared" si="6"/>
        <v>5388.67</v>
      </c>
      <c r="E47" s="271">
        <f t="shared" si="6"/>
        <v>9901.9500000000007</v>
      </c>
      <c r="F47" s="271">
        <f t="shared" si="6"/>
        <v>782.15</v>
      </c>
      <c r="G47" s="271">
        <f t="shared" si="6"/>
        <v>1953.4</v>
      </c>
      <c r="H47" s="271">
        <f t="shared" si="6"/>
        <v>0</v>
      </c>
      <c r="I47" s="271">
        <f t="shared" si="6"/>
        <v>2766.26</v>
      </c>
      <c r="J47" s="271">
        <f t="shared" si="6"/>
        <v>0</v>
      </c>
      <c r="K47" s="271">
        <f t="shared" si="6"/>
        <v>0</v>
      </c>
      <c r="L47" s="271">
        <f t="shared" si="6"/>
        <v>0</v>
      </c>
      <c r="M47" s="271">
        <f t="shared" si="6"/>
        <v>0</v>
      </c>
      <c r="N47" s="271">
        <f t="shared" si="6"/>
        <v>18969.32</v>
      </c>
    </row>
    <row r="48" spans="1:14" x14ac:dyDescent="0.25">
      <c r="A48" s="269" t="s">
        <v>217</v>
      </c>
      <c r="B48" s="251">
        <f>187.5+192.01</f>
        <v>379.51</v>
      </c>
      <c r="C48" s="251">
        <f>220.07+177.31</f>
        <v>397.38</v>
      </c>
      <c r="D48" s="251">
        <f>204.13+203.45</f>
        <v>407.58</v>
      </c>
      <c r="E48" s="251">
        <v>183.05</v>
      </c>
      <c r="F48" s="251">
        <f>203.42+208.73</f>
        <v>412.15</v>
      </c>
      <c r="G48" s="251">
        <f>151.15+202.25</f>
        <v>353.4</v>
      </c>
      <c r="H48" s="251"/>
      <c r="I48" s="252">
        <f>150.06+286.4+194.75+175.05</f>
        <v>806.26</v>
      </c>
      <c r="J48" s="251"/>
      <c r="K48" s="252"/>
      <c r="L48" s="253"/>
      <c r="M48" s="251"/>
      <c r="N48" s="251">
        <f t="shared" ref="N48:N56" si="7">SUM(B48:M48)</f>
        <v>2939.33</v>
      </c>
    </row>
    <row r="49" spans="1:14" s="263" customFormat="1" x14ac:dyDescent="0.25">
      <c r="A49" s="269" t="s">
        <v>211</v>
      </c>
      <c r="B49" s="251"/>
      <c r="C49" s="251"/>
      <c r="D49" s="251">
        <v>1500</v>
      </c>
      <c r="E49" s="251"/>
      <c r="F49" s="251"/>
      <c r="G49" s="251"/>
      <c r="H49" s="251"/>
      <c r="I49" s="251"/>
      <c r="J49" s="251"/>
      <c r="K49" s="251"/>
      <c r="L49" s="253"/>
      <c r="M49" s="251"/>
      <c r="N49" s="251">
        <f t="shared" si="7"/>
        <v>1500</v>
      </c>
    </row>
    <row r="50" spans="1:14" s="263" customFormat="1" x14ac:dyDescent="0.25">
      <c r="A50" s="269" t="s">
        <v>212</v>
      </c>
      <c r="B50" s="251"/>
      <c r="C50" s="251"/>
      <c r="D50" s="251">
        <v>1023.89</v>
      </c>
      <c r="E50" s="251"/>
      <c r="F50" s="251"/>
      <c r="G50" s="251"/>
      <c r="H50" s="251"/>
      <c r="I50" s="251"/>
      <c r="J50" s="251"/>
      <c r="K50" s="251"/>
      <c r="L50" s="253"/>
      <c r="M50" s="251"/>
      <c r="N50" s="251">
        <f t="shared" si="7"/>
        <v>1023.89</v>
      </c>
    </row>
    <row r="51" spans="1:14" s="263" customFormat="1" x14ac:dyDescent="0.25">
      <c r="A51" s="269" t="s">
        <v>213</v>
      </c>
      <c r="B51" s="251"/>
      <c r="C51" s="251"/>
      <c r="D51" s="251">
        <v>2457.1999999999998</v>
      </c>
      <c r="E51" s="251"/>
      <c r="F51" s="251"/>
      <c r="G51" s="251"/>
      <c r="H51" s="251"/>
      <c r="I51" s="251"/>
      <c r="J51" s="251"/>
      <c r="K51" s="251"/>
      <c r="L51" s="253"/>
      <c r="M51" s="251"/>
      <c r="N51" s="251">
        <f t="shared" si="7"/>
        <v>2457.1999999999998</v>
      </c>
    </row>
    <row r="52" spans="1:14" s="306" customFormat="1" x14ac:dyDescent="0.25">
      <c r="A52" s="269" t="s">
        <v>218</v>
      </c>
      <c r="B52" s="251"/>
      <c r="C52" s="251"/>
      <c r="D52" s="251"/>
      <c r="E52" s="251">
        <v>304.89999999999998</v>
      </c>
      <c r="F52" s="251"/>
      <c r="G52" s="251"/>
      <c r="H52" s="251"/>
      <c r="I52" s="251"/>
      <c r="J52" s="251"/>
      <c r="K52" s="251"/>
      <c r="L52" s="253"/>
      <c r="M52" s="251"/>
      <c r="N52" s="251">
        <f t="shared" si="7"/>
        <v>304.89999999999998</v>
      </c>
    </row>
    <row r="53" spans="1:14" s="306" customFormat="1" x14ac:dyDescent="0.25">
      <c r="A53" s="269" t="s">
        <v>227</v>
      </c>
      <c r="B53" s="251"/>
      <c r="C53" s="251"/>
      <c r="D53" s="251"/>
      <c r="E53" s="251">
        <f>28.55+585.45</f>
        <v>614</v>
      </c>
      <c r="F53" s="251"/>
      <c r="G53" s="251"/>
      <c r="H53" s="251"/>
      <c r="I53" s="252">
        <f>915.36+44.64</f>
        <v>960</v>
      </c>
      <c r="J53" s="251"/>
      <c r="K53" s="251"/>
      <c r="L53" s="253"/>
      <c r="M53" s="251"/>
      <c r="N53" s="251">
        <f t="shared" si="7"/>
        <v>1574</v>
      </c>
    </row>
    <row r="54" spans="1:14" s="306" customFormat="1" x14ac:dyDescent="0.25">
      <c r="A54" s="269" t="s">
        <v>220</v>
      </c>
      <c r="B54" s="251"/>
      <c r="C54" s="251"/>
      <c r="D54" s="251"/>
      <c r="E54" s="251">
        <f>2100+3700</f>
        <v>5800</v>
      </c>
      <c r="F54" s="251"/>
      <c r="G54" s="251"/>
      <c r="H54" s="251"/>
      <c r="I54" s="251"/>
      <c r="J54" s="251"/>
      <c r="K54" s="251"/>
      <c r="L54" s="253"/>
      <c r="M54" s="251"/>
      <c r="N54" s="251">
        <f t="shared" si="7"/>
        <v>5800</v>
      </c>
    </row>
    <row r="55" spans="1:14" s="306" customFormat="1" x14ac:dyDescent="0.25">
      <c r="A55" s="269" t="s">
        <v>221</v>
      </c>
      <c r="B55" s="251"/>
      <c r="C55" s="251"/>
      <c r="D55" s="251"/>
      <c r="E55" s="251">
        <v>3000</v>
      </c>
      <c r="F55" s="251"/>
      <c r="G55" s="251"/>
      <c r="H55" s="251"/>
      <c r="I55" s="251"/>
      <c r="J55" s="251"/>
      <c r="K55" s="251"/>
      <c r="L55" s="253"/>
      <c r="M55" s="251"/>
      <c r="N55" s="251">
        <f t="shared" si="7"/>
        <v>3000</v>
      </c>
    </row>
    <row r="56" spans="1:14" s="306" customFormat="1" x14ac:dyDescent="0.25">
      <c r="A56" s="269" t="s">
        <v>224</v>
      </c>
      <c r="B56" s="251"/>
      <c r="C56" s="251"/>
      <c r="D56" s="251"/>
      <c r="E56" s="251"/>
      <c r="F56" s="251">
        <v>370</v>
      </c>
      <c r="G56" s="251"/>
      <c r="H56" s="251"/>
      <c r="I56" s="251"/>
      <c r="J56" s="251"/>
      <c r="K56" s="251"/>
      <c r="L56" s="253"/>
      <c r="M56" s="251"/>
      <c r="N56" s="251">
        <f t="shared" si="7"/>
        <v>370</v>
      </c>
    </row>
    <row r="57" spans="1:14" s="335" customFormat="1" x14ac:dyDescent="0.25">
      <c r="A57" s="269" t="s">
        <v>241</v>
      </c>
      <c r="B57" s="251"/>
      <c r="C57" s="251"/>
      <c r="D57" s="251"/>
      <c r="E57" s="251"/>
      <c r="F57" s="251"/>
      <c r="G57" s="251"/>
      <c r="H57" s="251"/>
      <c r="I57" s="252">
        <v>1000</v>
      </c>
      <c r="J57" s="251"/>
      <c r="K57" s="251"/>
      <c r="L57" s="253"/>
      <c r="M57" s="251"/>
      <c r="N57" s="251"/>
    </row>
    <row r="58" spans="1:14" s="321" customFormat="1" x14ac:dyDescent="0.25">
      <c r="A58" s="269" t="s">
        <v>234</v>
      </c>
      <c r="B58" s="251"/>
      <c r="C58" s="251"/>
      <c r="D58" s="251"/>
      <c r="E58" s="251"/>
      <c r="F58" s="251"/>
      <c r="G58" s="251">
        <f>1448.8+151.2</f>
        <v>1600</v>
      </c>
      <c r="H58" s="251"/>
      <c r="I58" s="251"/>
      <c r="J58" s="251"/>
      <c r="K58" s="251"/>
      <c r="L58" s="253"/>
      <c r="M58" s="251"/>
      <c r="N58" s="251"/>
    </row>
    <row r="59" spans="1:14" s="19" customFormat="1" x14ac:dyDescent="0.25">
      <c r="A59" s="304" t="s">
        <v>194</v>
      </c>
      <c r="B59" s="305">
        <f>B35++B40+B44+B47</f>
        <v>3066.24</v>
      </c>
      <c r="C59" s="305">
        <f>C35++C40+C44+C47</f>
        <v>5132.55</v>
      </c>
      <c r="D59" s="305">
        <f>D35++D40+D44+D47</f>
        <v>10812.64</v>
      </c>
      <c r="E59" s="305">
        <f>E35++E40+E44+E47</f>
        <v>16152.420000000002</v>
      </c>
      <c r="F59" s="305">
        <f>F35+F40+F44+F47</f>
        <v>4570.62</v>
      </c>
      <c r="G59" s="305">
        <f t="shared" ref="G59:N59" si="8">G35++G40+G44+G47</f>
        <v>4353.3999999999996</v>
      </c>
      <c r="H59" s="305">
        <f>H35++H40+H44+H47</f>
        <v>14299.61</v>
      </c>
      <c r="I59" s="305">
        <f t="shared" si="8"/>
        <v>10299.630000000001</v>
      </c>
      <c r="J59" s="305">
        <f t="shared" si="8"/>
        <v>0</v>
      </c>
      <c r="K59" s="305">
        <f t="shared" si="8"/>
        <v>0</v>
      </c>
      <c r="L59" s="305">
        <f t="shared" si="8"/>
        <v>0</v>
      </c>
      <c r="M59" s="305">
        <f t="shared" si="8"/>
        <v>0</v>
      </c>
      <c r="N59" s="305">
        <f t="shared" si="8"/>
        <v>66087.11</v>
      </c>
    </row>
    <row r="60" spans="1:14" ht="15.75" thickBot="1" x14ac:dyDescent="0.3">
      <c r="A60" s="265"/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8"/>
      <c r="M60" s="267"/>
      <c r="N60" s="268"/>
    </row>
    <row r="61" spans="1:14" ht="27" customHeight="1" thickBot="1" x14ac:dyDescent="0.3">
      <c r="A61" s="262" t="s">
        <v>195</v>
      </c>
      <c r="B61" s="264" t="s">
        <v>104</v>
      </c>
      <c r="C61" s="264" t="s">
        <v>105</v>
      </c>
      <c r="D61" s="264" t="s">
        <v>106</v>
      </c>
      <c r="E61" s="264" t="s">
        <v>107</v>
      </c>
      <c r="F61" s="264" t="s">
        <v>108</v>
      </c>
      <c r="G61" s="264" t="s">
        <v>109</v>
      </c>
      <c r="H61" s="264" t="s">
        <v>110</v>
      </c>
      <c r="I61" s="264" t="s">
        <v>112</v>
      </c>
      <c r="J61" s="264" t="s">
        <v>113</v>
      </c>
      <c r="K61" s="264" t="s">
        <v>114</v>
      </c>
      <c r="L61" s="264" t="s">
        <v>115</v>
      </c>
      <c r="M61" s="264" t="s">
        <v>116</v>
      </c>
      <c r="N61" s="264" t="s">
        <v>11</v>
      </c>
    </row>
    <row r="62" spans="1:14" s="306" customFormat="1" x14ac:dyDescent="0.25">
      <c r="A62" s="269" t="s">
        <v>225</v>
      </c>
      <c r="B62" s="251"/>
      <c r="C62" s="251"/>
      <c r="D62" s="251"/>
      <c r="E62" s="251"/>
      <c r="F62" s="251">
        <v>1400</v>
      </c>
      <c r="G62" s="251"/>
      <c r="H62" s="251"/>
      <c r="I62" s="251"/>
      <c r="J62" s="251"/>
      <c r="K62" s="251"/>
      <c r="L62" s="253"/>
      <c r="M62" s="251"/>
      <c r="N62" s="251">
        <f>SUM(B62:M62)</f>
        <v>1400</v>
      </c>
    </row>
    <row r="63" spans="1:14" x14ac:dyDescent="0.25">
      <c r="A63" s="269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3"/>
      <c r="M63" s="251"/>
      <c r="N63" s="251">
        <f>SUM(B63:M63)</f>
        <v>0</v>
      </c>
    </row>
    <row r="64" spans="1:14" x14ac:dyDescent="0.25">
      <c r="A64" s="270" t="s">
        <v>196</v>
      </c>
      <c r="B64" s="271">
        <f t="shared" ref="B64:N64" si="9">SUM(B62:B63)</f>
        <v>0</v>
      </c>
      <c r="C64" s="271">
        <f t="shared" si="9"/>
        <v>0</v>
      </c>
      <c r="D64" s="271">
        <f t="shared" si="9"/>
        <v>0</v>
      </c>
      <c r="E64" s="271">
        <f t="shared" si="9"/>
        <v>0</v>
      </c>
      <c r="F64" s="271">
        <f t="shared" si="9"/>
        <v>1400</v>
      </c>
      <c r="G64" s="271">
        <f t="shared" si="9"/>
        <v>0</v>
      </c>
      <c r="H64" s="271">
        <f t="shared" si="9"/>
        <v>0</v>
      </c>
      <c r="I64" s="271">
        <f t="shared" si="9"/>
        <v>0</v>
      </c>
      <c r="J64" s="271">
        <f t="shared" si="9"/>
        <v>0</v>
      </c>
      <c r="K64" s="271">
        <f t="shared" si="9"/>
        <v>0</v>
      </c>
      <c r="L64" s="272">
        <f t="shared" si="9"/>
        <v>0</v>
      </c>
      <c r="M64" s="271">
        <f t="shared" si="9"/>
        <v>0</v>
      </c>
      <c r="N64" s="271">
        <f t="shared" si="9"/>
        <v>1400</v>
      </c>
    </row>
    <row r="65" spans="1:14" ht="15.75" thickBot="1" x14ac:dyDescent="0.3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3"/>
      <c r="M65" s="222"/>
      <c r="N65" s="222"/>
    </row>
    <row r="66" spans="1:14" ht="27.75" customHeight="1" thickBot="1" x14ac:dyDescent="0.3">
      <c r="A66" s="258" t="s">
        <v>197</v>
      </c>
      <c r="B66" s="259">
        <f t="shared" ref="B66:N66" si="10">B32+B59+B64</f>
        <v>62142.939999999995</v>
      </c>
      <c r="C66" s="260">
        <f t="shared" si="10"/>
        <v>20834.22</v>
      </c>
      <c r="D66" s="259">
        <f t="shared" si="10"/>
        <v>141359.51</v>
      </c>
      <c r="E66" s="260">
        <f t="shared" si="10"/>
        <v>77747.3</v>
      </c>
      <c r="F66" s="260">
        <f t="shared" si="10"/>
        <v>83447.699999999983</v>
      </c>
      <c r="G66" s="260">
        <f t="shared" si="10"/>
        <v>79391.139999999985</v>
      </c>
      <c r="H66" s="260">
        <f t="shared" si="10"/>
        <v>82077.149999999994</v>
      </c>
      <c r="I66" s="260">
        <f t="shared" si="10"/>
        <v>89316.180000000022</v>
      </c>
      <c r="J66" s="260">
        <f t="shared" si="10"/>
        <v>3802.67</v>
      </c>
      <c r="K66" s="260">
        <f t="shared" si="10"/>
        <v>0</v>
      </c>
      <c r="L66" s="260">
        <f t="shared" si="10"/>
        <v>0</v>
      </c>
      <c r="M66" s="260">
        <f t="shared" si="10"/>
        <v>0</v>
      </c>
      <c r="N66" s="260">
        <f t="shared" si="10"/>
        <v>637418.82000000007</v>
      </c>
    </row>
    <row r="69" spans="1:14" x14ac:dyDescent="0.25">
      <c r="I69" s="418"/>
    </row>
    <row r="70" spans="1:14" x14ac:dyDescent="0.25">
      <c r="H70" s="322"/>
      <c r="I70" s="418"/>
    </row>
    <row r="71" spans="1:14" x14ac:dyDescent="0.25">
      <c r="I71" s="418"/>
    </row>
    <row r="72" spans="1:14" x14ac:dyDescent="0.25">
      <c r="I72" s="418"/>
    </row>
    <row r="73" spans="1:14" x14ac:dyDescent="0.25">
      <c r="G73" s="322"/>
      <c r="I73" s="418"/>
    </row>
    <row r="74" spans="1:14" x14ac:dyDescent="0.25">
      <c r="I74" s="418"/>
    </row>
    <row r="76" spans="1:14" x14ac:dyDescent="0.25">
      <c r="I76" s="322"/>
    </row>
    <row r="79" spans="1:14" x14ac:dyDescent="0.25">
      <c r="I79" s="419"/>
      <c r="J79" s="419"/>
    </row>
    <row r="83" spans="9:9" x14ac:dyDescent="0.25">
      <c r="I83" s="322"/>
    </row>
  </sheetData>
  <mergeCells count="5">
    <mergeCell ref="A1:N2"/>
    <mergeCell ref="I69:I70"/>
    <mergeCell ref="I71:I72"/>
    <mergeCell ref="I73:I74"/>
    <mergeCell ref="I79:J79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40"/>
  <sheetViews>
    <sheetView showGridLines="0" view="pageBreakPreview" topLeftCell="A10" zoomScaleNormal="100" zoomScaleSheetLayoutView="100" workbookViewId="0">
      <selection activeCell="P10" sqref="P10"/>
    </sheetView>
  </sheetViews>
  <sheetFormatPr defaultRowHeight="15" x14ac:dyDescent="0.25"/>
  <cols>
    <col min="1" max="1" width="49" style="12" bestFit="1" customWidth="1"/>
    <col min="2" max="2" width="10.85546875" style="12" bestFit="1" customWidth="1"/>
    <col min="3" max="3" width="12.85546875" style="12" bestFit="1" customWidth="1"/>
    <col min="4" max="4" width="9.140625" style="12" bestFit="1" customWidth="1"/>
    <col min="5" max="5" width="7.7109375" style="12" bestFit="1" customWidth="1"/>
    <col min="6" max="6" width="15.42578125" style="12" bestFit="1" customWidth="1"/>
    <col min="7" max="7" width="20.28515625" style="12" bestFit="1" customWidth="1"/>
    <col min="8" max="16384" width="9.140625" style="12"/>
  </cols>
  <sheetData>
    <row r="1" spans="1:7" s="76" customFormat="1" ht="21" x14ac:dyDescent="0.35">
      <c r="G1" s="77"/>
    </row>
    <row r="2" spans="1:7" s="76" customFormat="1" ht="21" x14ac:dyDescent="0.35">
      <c r="G2" s="77"/>
    </row>
    <row r="3" spans="1:7" s="76" customFormat="1" ht="21" x14ac:dyDescent="0.35">
      <c r="G3" s="77"/>
    </row>
    <row r="4" spans="1:7" s="76" customFormat="1" ht="21" x14ac:dyDescent="0.35">
      <c r="G4" s="77"/>
    </row>
    <row r="5" spans="1:7" s="76" customFormat="1" ht="21" x14ac:dyDescent="0.35">
      <c r="G5" s="77"/>
    </row>
    <row r="6" spans="1:7" s="79" customFormat="1" ht="21" x14ac:dyDescent="0.35">
      <c r="A6" s="340" t="s">
        <v>198</v>
      </c>
      <c r="B6" s="340"/>
      <c r="C6" s="340"/>
      <c r="D6" s="340"/>
      <c r="E6" s="340"/>
      <c r="F6" s="340"/>
      <c r="G6" s="340"/>
    </row>
    <row r="7" spans="1:7" s="79" customFormat="1" ht="21" x14ac:dyDescent="0.35">
      <c r="A7" s="341" t="s">
        <v>243</v>
      </c>
      <c r="B7" s="341"/>
      <c r="C7" s="341"/>
      <c r="D7" s="341"/>
      <c r="E7" s="341"/>
      <c r="F7" s="341"/>
      <c r="G7" s="341"/>
    </row>
    <row r="8" spans="1:7" s="79" customFormat="1" ht="21" x14ac:dyDescent="0.35">
      <c r="A8" s="341" t="s">
        <v>237</v>
      </c>
      <c r="B8" s="341"/>
      <c r="C8" s="341"/>
      <c r="D8" s="341"/>
      <c r="E8" s="341"/>
      <c r="F8" s="341"/>
      <c r="G8" s="341"/>
    </row>
    <row r="9" spans="1:7" s="79" customFormat="1" ht="21" x14ac:dyDescent="0.35">
      <c r="A9" s="341" t="s">
        <v>238</v>
      </c>
      <c r="B9" s="341"/>
      <c r="C9" s="341"/>
      <c r="D9" s="341"/>
      <c r="E9" s="341"/>
      <c r="F9" s="341"/>
      <c r="G9" s="341"/>
    </row>
    <row r="10" spans="1:7" s="79" customFormat="1" ht="21" customHeight="1" x14ac:dyDescent="0.35">
      <c r="A10" s="342" t="s">
        <v>117</v>
      </c>
      <c r="B10" s="342"/>
      <c r="C10" s="342"/>
      <c r="D10" s="342"/>
      <c r="E10" s="342"/>
      <c r="F10" s="342"/>
      <c r="G10" s="342"/>
    </row>
    <row r="11" spans="1:7" s="1" customFormat="1" ht="45" x14ac:dyDescent="0.25">
      <c r="A11" s="73" t="s">
        <v>12</v>
      </c>
      <c r="B11" s="73" t="s">
        <v>199</v>
      </c>
      <c r="C11" s="73" t="s">
        <v>200</v>
      </c>
      <c r="D11" s="73" t="s">
        <v>101</v>
      </c>
      <c r="E11" s="73" t="s">
        <v>100</v>
      </c>
      <c r="F11" s="73" t="s">
        <v>102</v>
      </c>
      <c r="G11" s="73" t="s">
        <v>207</v>
      </c>
    </row>
    <row r="12" spans="1:7" s="1" customFormat="1" x14ac:dyDescent="0.25">
      <c r="A12" s="337" t="s">
        <v>30</v>
      </c>
      <c r="B12" s="338"/>
      <c r="C12" s="338"/>
      <c r="D12" s="338"/>
      <c r="E12" s="338"/>
      <c r="F12" s="338"/>
      <c r="G12" s="339"/>
    </row>
    <row r="13" spans="1:7" s="1" customFormat="1" ht="24.95" customHeight="1" x14ac:dyDescent="0.25">
      <c r="A13" s="11" t="s">
        <v>20</v>
      </c>
      <c r="B13" s="13">
        <f>B14+B21+B22</f>
        <v>1140356</v>
      </c>
      <c r="C13" s="200">
        <f>C14+C21+C22</f>
        <v>831802.40999999992</v>
      </c>
      <c r="D13" s="14">
        <f>C13/B13*100-100</f>
        <v>-27.057654802535353</v>
      </c>
      <c r="E13" s="14">
        <f>E14+E21+E22</f>
        <v>100.00000000000003</v>
      </c>
      <c r="F13" s="13">
        <f>F14+F21+F22</f>
        <v>308553.59000000003</v>
      </c>
      <c r="G13" s="246" t="s">
        <v>53</v>
      </c>
    </row>
    <row r="14" spans="1:7" s="8" customFormat="1" x14ac:dyDescent="0.25">
      <c r="A14" s="3" t="s">
        <v>13</v>
      </c>
      <c r="B14" s="9">
        <f>B15+B20</f>
        <v>1032778</v>
      </c>
      <c r="C14" s="201">
        <f>C15+C20</f>
        <v>771446.17999999993</v>
      </c>
      <c r="D14" s="10">
        <f>C14/B14*100</f>
        <v>74.696225132603516</v>
      </c>
      <c r="E14" s="10">
        <f>E15+E20</f>
        <v>92.743922201427637</v>
      </c>
      <c r="F14" s="9">
        <f>F15+F20</f>
        <v>261331.82</v>
      </c>
      <c r="G14" s="247" t="s">
        <v>53</v>
      </c>
    </row>
    <row r="15" spans="1:7" s="8" customFormat="1" x14ac:dyDescent="0.25">
      <c r="A15" s="3" t="s">
        <v>14</v>
      </c>
      <c r="B15" s="9">
        <f>SUM(B16:B19)</f>
        <v>548558</v>
      </c>
      <c r="C15" s="201">
        <f>SUM(C16:C19)</f>
        <v>445152.14</v>
      </c>
      <c r="D15" s="10">
        <f>C15/B15*100</f>
        <v>81.149511993262337</v>
      </c>
      <c r="E15" s="10">
        <f>SUM(E16:E19)</f>
        <v>53.516572523515535</v>
      </c>
      <c r="F15" s="9">
        <f>SUM(F16:F19)</f>
        <v>103405.85999999999</v>
      </c>
      <c r="G15" s="247" t="s">
        <v>53</v>
      </c>
    </row>
    <row r="16" spans="1:7" s="1" customFormat="1" x14ac:dyDescent="0.25">
      <c r="A16" s="48" t="s">
        <v>15</v>
      </c>
      <c r="B16" s="49">
        <v>469006</v>
      </c>
      <c r="C16" s="219">
        <v>392328.08</v>
      </c>
      <c r="D16" s="15">
        <f>C16/B16*100</f>
        <v>83.650972482228383</v>
      </c>
      <c r="E16" s="15">
        <f t="shared" ref="E16:E21" si="0">C16/$C$27*100</f>
        <v>47.166018670227231</v>
      </c>
      <c r="F16" s="5">
        <f t="shared" ref="F16:F21" si="1">B16-C16</f>
        <v>76677.919999999984</v>
      </c>
      <c r="G16" s="247" t="s">
        <v>53</v>
      </c>
    </row>
    <row r="17" spans="1:7" s="1" customFormat="1" x14ac:dyDescent="0.25">
      <c r="A17" s="48" t="s">
        <v>16</v>
      </c>
      <c r="B17" s="49">
        <v>33306</v>
      </c>
      <c r="C17" s="220">
        <v>19981.830000000002</v>
      </c>
      <c r="D17" s="15">
        <f>C17/B17*100</f>
        <v>59.994685642226628</v>
      </c>
      <c r="E17" s="15">
        <f t="shared" si="0"/>
        <v>2.4022327610231384</v>
      </c>
      <c r="F17" s="5">
        <f t="shared" si="1"/>
        <v>13324.169999999998</v>
      </c>
      <c r="G17" s="247" t="s">
        <v>53</v>
      </c>
    </row>
    <row r="18" spans="1:7" s="1" customFormat="1" x14ac:dyDescent="0.25">
      <c r="A18" s="48" t="s">
        <v>17</v>
      </c>
      <c r="B18" s="49">
        <v>46246</v>
      </c>
      <c r="C18" s="202">
        <f>502.6+11150.07+11378.22+2268.76+7542.58</f>
        <v>32842.230000000003</v>
      </c>
      <c r="D18" s="15">
        <f>C18/B18*100</f>
        <v>71.016368983263419</v>
      </c>
      <c r="E18" s="15">
        <f t="shared" si="0"/>
        <v>3.9483210922651697</v>
      </c>
      <c r="F18" s="5">
        <f t="shared" si="1"/>
        <v>13403.769999999997</v>
      </c>
      <c r="G18" s="247" t="s">
        <v>53</v>
      </c>
    </row>
    <row r="19" spans="1:7" s="1" customFormat="1" x14ac:dyDescent="0.25">
      <c r="A19" s="48" t="s">
        <v>65</v>
      </c>
      <c r="B19" s="49">
        <v>0</v>
      </c>
      <c r="C19" s="202"/>
      <c r="D19" s="15">
        <v>0</v>
      </c>
      <c r="E19" s="15">
        <f t="shared" si="0"/>
        <v>0</v>
      </c>
      <c r="F19" s="5">
        <f t="shared" si="1"/>
        <v>0</v>
      </c>
      <c r="G19" s="247" t="s">
        <v>53</v>
      </c>
    </row>
    <row r="20" spans="1:7" s="8" customFormat="1" x14ac:dyDescent="0.25">
      <c r="A20" s="16" t="s">
        <v>18</v>
      </c>
      <c r="B20" s="17">
        <v>484220</v>
      </c>
      <c r="C20" s="203">
        <v>326294.03999999998</v>
      </c>
      <c r="D20" s="18">
        <f t="shared" ref="D20:D39" si="2">C20/B20*100</f>
        <v>67.385494196852676</v>
      </c>
      <c r="E20" s="18">
        <f t="shared" si="0"/>
        <v>39.227349677912095</v>
      </c>
      <c r="F20" s="17">
        <f t="shared" si="1"/>
        <v>157925.96000000002</v>
      </c>
      <c r="G20" s="248" t="s">
        <v>53</v>
      </c>
    </row>
    <row r="21" spans="1:7" s="8" customFormat="1" x14ac:dyDescent="0.25">
      <c r="A21" s="325" t="s">
        <v>37</v>
      </c>
      <c r="B21" s="326">
        <v>82315</v>
      </c>
      <c r="C21" s="327">
        <v>41157.480000000003</v>
      </c>
      <c r="D21" s="328">
        <f t="shared" si="2"/>
        <v>49.999975703091785</v>
      </c>
      <c r="E21" s="328">
        <f t="shared" si="0"/>
        <v>4.9479875875810464</v>
      </c>
      <c r="F21" s="326">
        <f t="shared" si="1"/>
        <v>41157.519999999997</v>
      </c>
      <c r="G21" s="329" t="s">
        <v>53</v>
      </c>
    </row>
    <row r="22" spans="1:7" s="8" customFormat="1" x14ac:dyDescent="0.25">
      <c r="A22" s="50" t="s">
        <v>38</v>
      </c>
      <c r="B22" s="51">
        <f>B23+B24</f>
        <v>25263</v>
      </c>
      <c r="C22" s="215">
        <f>C23+C24</f>
        <v>19198.75</v>
      </c>
      <c r="D22" s="10">
        <f t="shared" si="2"/>
        <v>75.995527055377437</v>
      </c>
      <c r="E22" s="10">
        <f>E23+E24</f>
        <v>2.3080902109913342</v>
      </c>
      <c r="F22" s="9">
        <f>F23+F24</f>
        <v>6064.25</v>
      </c>
      <c r="G22" s="247" t="s">
        <v>53</v>
      </c>
    </row>
    <row r="23" spans="1:7" s="1" customFormat="1" x14ac:dyDescent="0.25">
      <c r="A23" s="330" t="s">
        <v>39</v>
      </c>
      <c r="B23" s="331">
        <v>25263</v>
      </c>
      <c r="C23" s="332">
        <v>19198.75</v>
      </c>
      <c r="D23" s="333">
        <f t="shared" si="2"/>
        <v>75.995527055377437</v>
      </c>
      <c r="E23" s="333">
        <f>C23/$C$27*100</f>
        <v>2.3080902109913342</v>
      </c>
      <c r="F23" s="331">
        <f>B23-C23</f>
        <v>6064.25</v>
      </c>
      <c r="G23" s="246"/>
    </row>
    <row r="24" spans="1:7" s="1" customFormat="1" x14ac:dyDescent="0.25">
      <c r="A24" s="48" t="s">
        <v>40</v>
      </c>
      <c r="B24" s="49">
        <v>0</v>
      </c>
      <c r="C24" s="219">
        <v>0</v>
      </c>
      <c r="D24" s="15" t="e">
        <f t="shared" si="2"/>
        <v>#DIV/0!</v>
      </c>
      <c r="E24" s="15">
        <f>C24/$C$27*100</f>
        <v>0</v>
      </c>
      <c r="F24" s="5">
        <f>B24-C24</f>
        <v>0</v>
      </c>
      <c r="G24" s="247" t="s">
        <v>53</v>
      </c>
    </row>
    <row r="25" spans="1:7" s="1" customFormat="1" x14ac:dyDescent="0.25">
      <c r="A25" s="11" t="s">
        <v>21</v>
      </c>
      <c r="B25" s="13">
        <f>B26</f>
        <v>118791</v>
      </c>
      <c r="C25" s="200">
        <f>C26</f>
        <v>0</v>
      </c>
      <c r="D25" s="14">
        <f t="shared" si="2"/>
        <v>0</v>
      </c>
      <c r="E25" s="14">
        <f>E26</f>
        <v>0</v>
      </c>
      <c r="F25" s="13">
        <f>F26</f>
        <v>118791</v>
      </c>
      <c r="G25" s="246" t="s">
        <v>53</v>
      </c>
    </row>
    <row r="26" spans="1:7" s="1" customFormat="1" x14ac:dyDescent="0.25">
      <c r="A26" s="48" t="s">
        <v>19</v>
      </c>
      <c r="B26" s="49">
        <v>118791</v>
      </c>
      <c r="C26" s="202">
        <v>0</v>
      </c>
      <c r="D26" s="15">
        <f t="shared" si="2"/>
        <v>0</v>
      </c>
      <c r="E26" s="15">
        <f>C26/$C$27*100</f>
        <v>0</v>
      </c>
      <c r="F26" s="5">
        <f>B26-C26</f>
        <v>118791</v>
      </c>
      <c r="G26" s="247"/>
    </row>
    <row r="27" spans="1:7" s="1" customFormat="1" x14ac:dyDescent="0.25">
      <c r="A27" s="16" t="s">
        <v>22</v>
      </c>
      <c r="B27" s="17">
        <f>B13+B25</f>
        <v>1259147</v>
      </c>
      <c r="C27" s="203">
        <f>C13+C25</f>
        <v>831802.40999999992</v>
      </c>
      <c r="D27" s="18">
        <f t="shared" si="2"/>
        <v>66.060786389516068</v>
      </c>
      <c r="E27" s="18">
        <f>E13+E25</f>
        <v>100.00000000000003</v>
      </c>
      <c r="F27" s="17">
        <f>F13+F25</f>
        <v>427344.59</v>
      </c>
      <c r="G27" s="248" t="s">
        <v>53</v>
      </c>
    </row>
    <row r="28" spans="1:7" s="1" customFormat="1" x14ac:dyDescent="0.25">
      <c r="A28" s="337" t="s">
        <v>31</v>
      </c>
      <c r="B28" s="338"/>
      <c r="C28" s="338"/>
      <c r="D28" s="338"/>
      <c r="E28" s="338"/>
      <c r="F28" s="338"/>
      <c r="G28" s="339"/>
    </row>
    <row r="29" spans="1:7" s="1" customFormat="1" ht="24.95" customHeight="1" x14ac:dyDescent="0.25">
      <c r="A29" s="224" t="s">
        <v>23</v>
      </c>
      <c r="B29" s="225">
        <f>B30+B33</f>
        <v>1121887.75</v>
      </c>
      <c r="C29" s="225">
        <f>C30+C33</f>
        <v>571375.76</v>
      </c>
      <c r="D29" s="226">
        <f t="shared" si="2"/>
        <v>50.929851047932381</v>
      </c>
      <c r="E29" s="226">
        <f>E30+E33</f>
        <v>87.574102420862999</v>
      </c>
      <c r="F29" s="225">
        <f>F30+F33</f>
        <v>550511.99</v>
      </c>
      <c r="G29" s="244" t="s">
        <v>53</v>
      </c>
    </row>
    <row r="30" spans="1:7" s="8" customFormat="1" x14ac:dyDescent="0.25">
      <c r="A30" s="230" t="s">
        <v>26</v>
      </c>
      <c r="B30" s="231">
        <f>SUM(B31:B32)</f>
        <v>1003096.3</v>
      </c>
      <c r="C30" s="231">
        <f>SUM(C31:C32)</f>
        <v>566275.76</v>
      </c>
      <c r="D30" s="232">
        <f t="shared" si="2"/>
        <v>56.452781253405085</v>
      </c>
      <c r="E30" s="232">
        <f>SUM(E31:E32)</f>
        <v>86.79243131471317</v>
      </c>
      <c r="F30" s="231">
        <f>SUM(F31:F32)</f>
        <v>436820.54</v>
      </c>
      <c r="G30" s="243" t="s">
        <v>53</v>
      </c>
    </row>
    <row r="31" spans="1:7" s="1" customFormat="1" x14ac:dyDescent="0.25">
      <c r="A31" s="237" t="s">
        <v>24</v>
      </c>
      <c r="B31" s="238">
        <f>'Exec Orçamentária'!D12+'Exec Orçamentária'!D13+'Exec Orçamentária'!D14+'Exec Orçamentária'!D15+'Exec Orçamentária'!D16+'Exec Orçamentária'!D26</f>
        <v>73036.3</v>
      </c>
      <c r="C31" s="238">
        <f>'Exec Orçamentária'!F12+'Exec Orçamentária'!F13+'Exec Orçamentária'!F14+'Exec Orçamentária'!F15+'Exec Orçamentária'!F16+'Exec Orçamentária'!F26</f>
        <v>750</v>
      </c>
      <c r="D31" s="239">
        <f t="shared" si="2"/>
        <v>1.0268866303468274</v>
      </c>
      <c r="E31" s="239">
        <f>C31/$C$39*100</f>
        <v>0.11495163325732834</v>
      </c>
      <c r="F31" s="240">
        <f>B31-C31</f>
        <v>72286.3</v>
      </c>
      <c r="G31" s="243" t="s">
        <v>53</v>
      </c>
    </row>
    <row r="32" spans="1:7" s="1" customFormat="1" x14ac:dyDescent="0.25">
      <c r="A32" s="237" t="s">
        <v>25</v>
      </c>
      <c r="B32" s="238">
        <f>'Exec Orçamentária'!D17+'Exec Orçamentária'!D18+'Exec Orçamentária'!D19+'Exec Orçamentária'!D20+'Exec Orçamentária'!D21+'Exec Orçamentária'!D22</f>
        <v>930060</v>
      </c>
      <c r="C32" s="238">
        <f>'Exec Orçamentária'!F17+'Exec Orçamentária'!F18+'Exec Orçamentária'!F19+'Exec Orçamentária'!F20+'Exec Orçamentária'!F21+'Exec Orçamentária'!F22</f>
        <v>565525.76000000001</v>
      </c>
      <c r="D32" s="239">
        <f t="shared" si="2"/>
        <v>60.805298582887126</v>
      </c>
      <c r="E32" s="239">
        <f>C32/$C$39*100</f>
        <v>86.677479681455836</v>
      </c>
      <c r="F32" s="240">
        <f>B32-C32</f>
        <v>364534.24</v>
      </c>
      <c r="G32" s="243" t="s">
        <v>53</v>
      </c>
    </row>
    <row r="33" spans="1:7" s="8" customFormat="1" x14ac:dyDescent="0.25">
      <c r="A33" s="241" t="s">
        <v>27</v>
      </c>
      <c r="B33" s="242">
        <f>SUM(B34:B35)</f>
        <v>118791.45</v>
      </c>
      <c r="C33" s="242">
        <f>SUM(C34:C35)</f>
        <v>5100</v>
      </c>
      <c r="D33" s="232">
        <f t="shared" si="2"/>
        <v>4.2932382759870347</v>
      </c>
      <c r="E33" s="232">
        <f>SUM(E34:E35)</f>
        <v>0.7816711061498326</v>
      </c>
      <c r="F33" s="231">
        <f>SUM(F34:F35)</f>
        <v>113691.45</v>
      </c>
      <c r="G33" s="243" t="s">
        <v>53</v>
      </c>
    </row>
    <row r="34" spans="1:7" s="1" customFormat="1" x14ac:dyDescent="0.25">
      <c r="A34" s="237" t="s">
        <v>24</v>
      </c>
      <c r="B34" s="238">
        <f>'Exec Orçamentária'!D28</f>
        <v>118791.45</v>
      </c>
      <c r="C34" s="238">
        <f>'Exec Orçamentária'!F28</f>
        <v>5100</v>
      </c>
      <c r="D34" s="239">
        <f t="shared" si="2"/>
        <v>4.2932382759870347</v>
      </c>
      <c r="E34" s="239">
        <f>C34/$C$39*100</f>
        <v>0.7816711061498326</v>
      </c>
      <c r="F34" s="240">
        <f>B34-C34</f>
        <v>113691.45</v>
      </c>
      <c r="G34" s="243"/>
    </row>
    <row r="35" spans="1:7" s="1" customFormat="1" x14ac:dyDescent="0.25">
      <c r="A35" s="237" t="s">
        <v>25</v>
      </c>
      <c r="B35" s="238">
        <v>0</v>
      </c>
      <c r="C35" s="238">
        <v>0</v>
      </c>
      <c r="D35" s="239">
        <v>0</v>
      </c>
      <c r="E35" s="239">
        <f>C35/$C$39*100</f>
        <v>0</v>
      </c>
      <c r="F35" s="240">
        <f>B35-C35</f>
        <v>0</v>
      </c>
      <c r="G35" s="243" t="s">
        <v>64</v>
      </c>
    </row>
    <row r="36" spans="1:7" s="1" customFormat="1" x14ac:dyDescent="0.25">
      <c r="A36" s="224" t="s">
        <v>28</v>
      </c>
      <c r="B36" s="225">
        <f>'Exec Orçamentária'!D24</f>
        <v>35884</v>
      </c>
      <c r="C36" s="225">
        <f>'Exec Orçamentária'!F24</f>
        <v>23922.639999999999</v>
      </c>
      <c r="D36" s="226">
        <v>0</v>
      </c>
      <c r="E36" s="226">
        <f>C36/$C$39*100</f>
        <v>3.6665953864361236</v>
      </c>
      <c r="F36" s="225">
        <f>B36-C36</f>
        <v>11961.36</v>
      </c>
      <c r="G36" s="244" t="s">
        <v>64</v>
      </c>
    </row>
    <row r="37" spans="1:7" s="1" customFormat="1" x14ac:dyDescent="0.25">
      <c r="A37" s="224" t="s">
        <v>63</v>
      </c>
      <c r="B37" s="225">
        <f>'Exec Orçamentária'!D23</f>
        <v>85725</v>
      </c>
      <c r="C37" s="225">
        <f>'Exec Orçamentária'!F23</f>
        <v>57149.919999999998</v>
      </c>
      <c r="D37" s="226">
        <v>1</v>
      </c>
      <c r="E37" s="226">
        <f>C37/$C$39*100</f>
        <v>8.7593021927008703</v>
      </c>
      <c r="F37" s="225">
        <f>B37-C37</f>
        <v>28575.08</v>
      </c>
      <c r="G37" s="244" t="s">
        <v>64</v>
      </c>
    </row>
    <row r="38" spans="1:7" s="1" customFormat="1" x14ac:dyDescent="0.25">
      <c r="A38" s="224" t="s">
        <v>66</v>
      </c>
      <c r="B38" s="225">
        <f>'Exec Orçamentária'!D25</f>
        <v>10650</v>
      </c>
      <c r="C38" s="225">
        <f>'Exec Orçamentária'!F25</f>
        <v>0</v>
      </c>
      <c r="D38" s="226">
        <v>1</v>
      </c>
      <c r="E38" s="226">
        <f>C38/$C$39*100</f>
        <v>0</v>
      </c>
      <c r="F38" s="225">
        <f>B38-C38</f>
        <v>10650</v>
      </c>
      <c r="G38" s="244" t="s">
        <v>64</v>
      </c>
    </row>
    <row r="39" spans="1:7" s="1" customFormat="1" x14ac:dyDescent="0.25">
      <c r="A39" s="227" t="s">
        <v>29</v>
      </c>
      <c r="B39" s="228">
        <f>B29+B36+B37+B38</f>
        <v>1254146.75</v>
      </c>
      <c r="C39" s="228">
        <f>C29+C36+C37+C38</f>
        <v>652448.32000000007</v>
      </c>
      <c r="D39" s="229">
        <f t="shared" si="2"/>
        <v>52.023283559120983</v>
      </c>
      <c r="E39" s="229">
        <f>E29+E36</f>
        <v>91.240697807299128</v>
      </c>
      <c r="F39" s="228">
        <f>F29+F36</f>
        <v>562473.35</v>
      </c>
      <c r="G39" s="245" t="s">
        <v>53</v>
      </c>
    </row>
    <row r="40" spans="1:7" s="8" customFormat="1" x14ac:dyDescent="0.25">
      <c r="A40" s="230" t="s">
        <v>32</v>
      </c>
      <c r="B40" s="231">
        <f>B27-B39</f>
        <v>5000.25</v>
      </c>
      <c r="C40" s="231">
        <f>C27-C39</f>
        <v>179354.08999999985</v>
      </c>
      <c r="D40" s="232"/>
      <c r="E40" s="232"/>
      <c r="F40" s="231">
        <f>F27-F39</f>
        <v>-135128.75999999995</v>
      </c>
      <c r="G40" s="243"/>
    </row>
  </sheetData>
  <mergeCells count="7">
    <mergeCell ref="A28:G28"/>
    <mergeCell ref="A12:G12"/>
    <mergeCell ref="A6:G6"/>
    <mergeCell ref="A7:G7"/>
    <mergeCell ref="A8:G8"/>
    <mergeCell ref="A9:G9"/>
    <mergeCell ref="A10:G10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SheetLayoutView="90" workbookViewId="0">
      <pane ySplit="17" topLeftCell="A18" activePane="bottomLeft" state="frozen"/>
      <selection activeCell="M5" sqref="M5"/>
      <selection pane="bottomLeft" activeCell="M5" sqref="M5"/>
    </sheetView>
  </sheetViews>
  <sheetFormatPr defaultRowHeight="12.75" x14ac:dyDescent="0.25"/>
  <cols>
    <col min="1" max="1" width="37.140625" style="38" customWidth="1"/>
    <col min="2" max="3" width="4.42578125" style="38" customWidth="1"/>
    <col min="4" max="4" width="21.7109375" style="38" customWidth="1"/>
    <col min="5" max="5" width="37.140625" style="38" customWidth="1"/>
    <col min="6" max="6" width="29.28515625" style="38" customWidth="1"/>
    <col min="7" max="7" width="50.85546875" style="38" customWidth="1"/>
    <col min="8" max="9" width="37.7109375" style="38" customWidth="1"/>
    <col min="10" max="16384" width="9.140625" style="38"/>
  </cols>
  <sheetData>
    <row r="7" spans="1:9" x14ac:dyDescent="0.25">
      <c r="A7" s="345" t="s">
        <v>60</v>
      </c>
      <c r="B7" s="345"/>
      <c r="C7" s="345"/>
      <c r="D7" s="345"/>
      <c r="E7" s="345"/>
      <c r="F7" s="345"/>
      <c r="G7" s="345"/>
      <c r="H7" s="345"/>
      <c r="I7" s="345"/>
    </row>
    <row r="8" spans="1:9" x14ac:dyDescent="0.25">
      <c r="A8" s="39" t="s">
        <v>61</v>
      </c>
    </row>
    <row r="10" spans="1:9" x14ac:dyDescent="0.25">
      <c r="A10" s="344" t="s">
        <v>86</v>
      </c>
      <c r="B10" s="344"/>
      <c r="C10" s="344"/>
      <c r="D10" s="344"/>
    </row>
    <row r="12" spans="1:9" x14ac:dyDescent="0.25">
      <c r="A12" s="38" t="s">
        <v>45</v>
      </c>
      <c r="B12" s="344"/>
      <c r="C12" s="344"/>
      <c r="D12" s="344"/>
    </row>
    <row r="13" spans="1:9" x14ac:dyDescent="0.25">
      <c r="A13" s="38" t="s">
        <v>46</v>
      </c>
      <c r="B13" s="346"/>
      <c r="C13" s="346"/>
      <c r="D13" s="346"/>
    </row>
    <row r="15" spans="1:9" x14ac:dyDescent="0.25">
      <c r="A15" s="352" t="s">
        <v>57</v>
      </c>
      <c r="B15" s="352"/>
      <c r="C15" s="352"/>
      <c r="D15" s="352"/>
      <c r="E15" s="352"/>
      <c r="F15" s="352"/>
      <c r="G15" s="352"/>
      <c r="H15" s="352"/>
      <c r="I15" s="352"/>
    </row>
    <row r="16" spans="1:9" ht="18" customHeight="1" x14ac:dyDescent="0.25">
      <c r="A16" s="347" t="s">
        <v>56</v>
      </c>
      <c r="B16" s="349" t="s">
        <v>1</v>
      </c>
      <c r="C16" s="350"/>
      <c r="D16" s="351"/>
      <c r="E16" s="349" t="s">
        <v>5</v>
      </c>
      <c r="F16" s="351"/>
      <c r="G16" s="349" t="s">
        <v>6</v>
      </c>
      <c r="H16" s="351"/>
      <c r="I16" s="347" t="s">
        <v>41</v>
      </c>
    </row>
    <row r="17" spans="1:9" ht="59.25" customHeight="1" x14ac:dyDescent="0.25">
      <c r="A17" s="348"/>
      <c r="B17" s="62" t="s">
        <v>2</v>
      </c>
      <c r="C17" s="62" t="s">
        <v>42</v>
      </c>
      <c r="D17" s="62" t="s">
        <v>3</v>
      </c>
      <c r="E17" s="62" t="s">
        <v>4</v>
      </c>
      <c r="F17" s="62" t="s">
        <v>7</v>
      </c>
      <c r="G17" s="62" t="s">
        <v>8</v>
      </c>
      <c r="H17" s="62" t="s">
        <v>9</v>
      </c>
      <c r="I17" s="348"/>
    </row>
    <row r="18" spans="1:9" ht="15.75" x14ac:dyDescent="0.25">
      <c r="A18" s="64" t="s">
        <v>67</v>
      </c>
      <c r="B18" s="65" t="s">
        <v>43</v>
      </c>
      <c r="C18" s="40"/>
      <c r="D18" s="63" t="s">
        <v>70</v>
      </c>
      <c r="E18" s="58"/>
      <c r="F18" s="42"/>
      <c r="G18" s="61"/>
      <c r="H18" s="43"/>
      <c r="I18" s="42"/>
    </row>
    <row r="19" spans="1:9" ht="15.75" x14ac:dyDescent="0.25">
      <c r="A19" s="64" t="s">
        <v>67</v>
      </c>
      <c r="B19" s="65" t="s">
        <v>43</v>
      </c>
      <c r="C19" s="40"/>
      <c r="D19" s="63" t="s">
        <v>71</v>
      </c>
      <c r="E19" s="41"/>
      <c r="F19" s="42"/>
      <c r="G19" s="43"/>
      <c r="H19" s="43"/>
      <c r="I19" s="59"/>
    </row>
    <row r="20" spans="1:9" ht="31.5" x14ac:dyDescent="0.2">
      <c r="A20" s="64" t="s">
        <v>67</v>
      </c>
      <c r="B20" s="65" t="s">
        <v>43</v>
      </c>
      <c r="C20" s="40"/>
      <c r="D20" s="63" t="s">
        <v>88</v>
      </c>
      <c r="E20" s="59"/>
      <c r="F20" s="42"/>
      <c r="G20" s="42"/>
      <c r="H20" s="42"/>
      <c r="I20" s="60"/>
    </row>
    <row r="21" spans="1:9" ht="31.5" x14ac:dyDescent="0.2">
      <c r="A21" s="64" t="s">
        <v>68</v>
      </c>
      <c r="B21" s="65" t="s">
        <v>43</v>
      </c>
      <c r="C21" s="40"/>
      <c r="D21" s="63" t="s">
        <v>89</v>
      </c>
      <c r="E21" s="59"/>
      <c r="F21" s="42"/>
      <c r="G21" s="42"/>
      <c r="H21" s="43"/>
      <c r="I21" s="60"/>
    </row>
    <row r="22" spans="1:9" ht="15.75" x14ac:dyDescent="0.2">
      <c r="A22" s="64" t="s">
        <v>68</v>
      </c>
      <c r="B22" s="65" t="s">
        <v>43</v>
      </c>
      <c r="C22" s="40"/>
      <c r="D22" s="63" t="s">
        <v>90</v>
      </c>
      <c r="E22" s="59"/>
      <c r="F22" s="42"/>
      <c r="G22" s="42"/>
      <c r="H22" s="42"/>
      <c r="I22" s="60"/>
    </row>
    <row r="23" spans="1:9" ht="31.5" x14ac:dyDescent="0.2">
      <c r="A23" s="64" t="s">
        <v>68</v>
      </c>
      <c r="B23" s="65" t="s">
        <v>43</v>
      </c>
      <c r="C23" s="40"/>
      <c r="D23" s="63" t="s">
        <v>91</v>
      </c>
      <c r="E23" s="59"/>
      <c r="F23" s="44"/>
      <c r="G23" s="42"/>
      <c r="H23" s="41"/>
      <c r="I23" s="60"/>
    </row>
    <row r="24" spans="1:9" ht="15.75" x14ac:dyDescent="0.2">
      <c r="A24" s="64" t="s">
        <v>69</v>
      </c>
      <c r="B24" s="65" t="s">
        <v>44</v>
      </c>
      <c r="C24" s="40"/>
      <c r="D24" s="63" t="s">
        <v>73</v>
      </c>
      <c r="E24" s="59"/>
      <c r="F24" s="42"/>
      <c r="G24" s="42"/>
      <c r="H24" s="42"/>
      <c r="I24" s="60"/>
    </row>
    <row r="25" spans="1:9" ht="31.5" x14ac:dyDescent="0.2">
      <c r="A25" s="64" t="s">
        <v>69</v>
      </c>
      <c r="B25" s="65" t="s">
        <v>43</v>
      </c>
      <c r="C25" s="40"/>
      <c r="D25" s="63" t="s">
        <v>74</v>
      </c>
      <c r="E25" s="59"/>
      <c r="F25" s="42"/>
      <c r="G25" s="42"/>
      <c r="H25" s="42"/>
      <c r="I25" s="60"/>
    </row>
    <row r="26" spans="1:9" ht="15.75" x14ac:dyDescent="0.2">
      <c r="A26" s="64" t="s">
        <v>69</v>
      </c>
      <c r="B26" s="65" t="s">
        <v>43</v>
      </c>
      <c r="C26" s="40"/>
      <c r="D26" s="63" t="s">
        <v>75</v>
      </c>
      <c r="E26" s="59"/>
      <c r="F26" s="42"/>
      <c r="G26" s="42"/>
      <c r="H26" s="42"/>
      <c r="I26" s="60"/>
    </row>
    <row r="27" spans="1:9" ht="15.75" x14ac:dyDescent="0.2">
      <c r="A27" s="64" t="s">
        <v>69</v>
      </c>
      <c r="B27" s="65" t="s">
        <v>44</v>
      </c>
      <c r="C27" s="40"/>
      <c r="D27" s="63" t="s">
        <v>92</v>
      </c>
      <c r="E27" s="59"/>
      <c r="F27" s="42"/>
      <c r="G27" s="42"/>
      <c r="H27" s="42"/>
      <c r="I27" s="60"/>
    </row>
    <row r="28" spans="1:9" ht="63" x14ac:dyDescent="0.2">
      <c r="A28" s="64" t="s">
        <v>69</v>
      </c>
      <c r="B28" s="65" t="s">
        <v>44</v>
      </c>
      <c r="C28" s="40"/>
      <c r="D28" s="63" t="s">
        <v>93</v>
      </c>
      <c r="E28" s="59"/>
      <c r="F28" s="42"/>
      <c r="G28" s="42"/>
      <c r="H28" s="42"/>
      <c r="I28" s="60"/>
    </row>
    <row r="29" spans="1:9" ht="31.5" x14ac:dyDescent="0.2">
      <c r="A29" s="64" t="s">
        <v>69</v>
      </c>
      <c r="B29" s="65" t="s">
        <v>44</v>
      </c>
      <c r="C29" s="40"/>
      <c r="D29" s="63" t="s">
        <v>76</v>
      </c>
      <c r="E29" s="59"/>
      <c r="F29" s="42"/>
      <c r="G29" s="42"/>
      <c r="H29" s="42"/>
      <c r="I29" s="60"/>
    </row>
    <row r="30" spans="1:9" ht="63" x14ac:dyDescent="0.2">
      <c r="A30" s="64" t="s">
        <v>69</v>
      </c>
      <c r="B30" s="65" t="s">
        <v>44</v>
      </c>
      <c r="C30" s="40"/>
      <c r="D30" s="63" t="s">
        <v>72</v>
      </c>
      <c r="E30" s="59"/>
      <c r="F30" s="42"/>
      <c r="G30" s="42"/>
      <c r="H30" s="42"/>
      <c r="I30" s="60"/>
    </row>
    <row r="31" spans="1:9" ht="47.25" x14ac:dyDescent="0.2">
      <c r="A31" s="64" t="s">
        <v>69</v>
      </c>
      <c r="B31" s="65" t="s">
        <v>44</v>
      </c>
      <c r="C31" s="40"/>
      <c r="D31" s="63" t="s">
        <v>78</v>
      </c>
      <c r="E31" s="59"/>
      <c r="F31" s="42"/>
      <c r="G31" s="42"/>
      <c r="H31" s="42"/>
      <c r="I31" s="60"/>
    </row>
    <row r="32" spans="1:9" ht="63" x14ac:dyDescent="0.2">
      <c r="A32" s="64" t="s">
        <v>69</v>
      </c>
      <c r="B32" s="65" t="s">
        <v>44</v>
      </c>
      <c r="C32" s="40"/>
      <c r="D32" s="63" t="s">
        <v>79</v>
      </c>
      <c r="E32" s="59"/>
      <c r="F32" s="42"/>
      <c r="G32" s="42"/>
      <c r="H32" s="42"/>
      <c r="I32" s="60"/>
    </row>
    <row r="33" spans="1:9" ht="31.5" x14ac:dyDescent="0.2">
      <c r="A33" s="64" t="s">
        <v>69</v>
      </c>
      <c r="B33" s="65" t="s">
        <v>44</v>
      </c>
      <c r="C33" s="40"/>
      <c r="D33" s="63" t="s">
        <v>80</v>
      </c>
      <c r="E33" s="59"/>
      <c r="F33" s="42"/>
      <c r="G33" s="42"/>
      <c r="H33" s="42"/>
      <c r="I33" s="60"/>
    </row>
    <row r="34" spans="1:9" ht="47.25" x14ac:dyDescent="0.2">
      <c r="A34" s="64" t="s">
        <v>95</v>
      </c>
      <c r="B34" s="65" t="s">
        <v>43</v>
      </c>
      <c r="C34" s="40"/>
      <c r="D34" s="63" t="s">
        <v>94</v>
      </c>
      <c r="E34" s="41"/>
      <c r="F34" s="45"/>
      <c r="G34" s="46"/>
      <c r="H34" s="46"/>
      <c r="I34" s="60"/>
    </row>
    <row r="35" spans="1:9" ht="31.5" x14ac:dyDescent="0.2">
      <c r="A35" s="64" t="s">
        <v>69</v>
      </c>
      <c r="B35" s="65" t="s">
        <v>43</v>
      </c>
      <c r="C35" s="40"/>
      <c r="D35" s="63" t="s">
        <v>77</v>
      </c>
      <c r="E35" s="41"/>
      <c r="F35" s="42"/>
      <c r="G35" s="42"/>
      <c r="H35" s="42"/>
      <c r="I35" s="60"/>
    </row>
    <row r="36" spans="1:9" ht="23.25" customHeight="1" x14ac:dyDescent="0.25">
      <c r="A36" s="343" t="s">
        <v>62</v>
      </c>
      <c r="B36" s="343"/>
      <c r="C36" s="343"/>
      <c r="D36" s="343"/>
      <c r="E36" s="343"/>
      <c r="F36" s="343"/>
      <c r="G36" s="343"/>
      <c r="H36" s="343"/>
      <c r="I36" s="343"/>
    </row>
    <row r="38" spans="1:9" ht="23.25" customHeight="1" x14ac:dyDescent="0.25"/>
    <row r="39" spans="1:9" ht="94.5" customHeight="1" x14ac:dyDescent="0.25"/>
    <row r="40" spans="1:9" ht="15" customHeight="1" x14ac:dyDescent="0.25"/>
    <row r="41" spans="1:9" ht="23.25" customHeight="1" x14ac:dyDescent="0.25"/>
    <row r="42" spans="1:9" ht="20.100000000000001" customHeight="1" x14ac:dyDescent="0.25"/>
    <row r="43" spans="1:9" ht="20.100000000000001" customHeight="1" x14ac:dyDescent="0.25"/>
  </sheetData>
  <mergeCells count="11">
    <mergeCell ref="A36:I36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5"/>
  <sheetViews>
    <sheetView view="pageBreakPreview" zoomScale="80" zoomScaleSheetLayoutView="80" workbookViewId="0">
      <pane ySplit="13" topLeftCell="A14" activePane="bottomLeft" state="frozen"/>
      <selection activeCell="M5" sqref="M5"/>
      <selection pane="bottomLeft" activeCell="M5" sqref="M5"/>
    </sheetView>
  </sheetViews>
  <sheetFormatPr defaultRowHeight="15" x14ac:dyDescent="0.25"/>
  <cols>
    <col min="1" max="1" width="3.42578125" style="1" bestFit="1" customWidth="1"/>
    <col min="2" max="2" width="26.140625" style="30" customWidth="1"/>
    <col min="3" max="4" width="4.42578125" style="1" customWidth="1"/>
    <col min="5" max="5" width="33.7109375" style="1" customWidth="1"/>
    <col min="6" max="6" width="12.140625" style="30" bestFit="1" customWidth="1"/>
    <col min="7" max="8" width="15.140625" style="1" customWidth="1"/>
    <col min="9" max="9" width="12.140625" style="1" customWidth="1"/>
    <col min="10" max="10" width="15.85546875" style="1" customWidth="1"/>
    <col min="11" max="11" width="13" style="1" customWidth="1"/>
    <col min="12" max="12" width="14.7109375" style="1" customWidth="1"/>
    <col min="13" max="13" width="38.28515625" style="1" customWidth="1"/>
    <col min="14" max="16384" width="9.140625" style="1"/>
  </cols>
  <sheetData>
    <row r="6" spans="1:13" x14ac:dyDescent="0.25">
      <c r="B6" s="357" t="s">
        <v>87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x14ac:dyDescent="0.25">
      <c r="B7" s="1" t="s">
        <v>96</v>
      </c>
    </row>
    <row r="8" spans="1:13" x14ac:dyDescent="0.25">
      <c r="B8" s="30" t="str">
        <f>'2. Exec Plano de Ação'!A12</f>
        <v>Responsável pela Análise:</v>
      </c>
      <c r="C8" s="358"/>
      <c r="D8" s="358"/>
      <c r="E8" s="358"/>
    </row>
    <row r="9" spans="1:13" x14ac:dyDescent="0.25">
      <c r="B9" s="30" t="s">
        <v>54</v>
      </c>
      <c r="C9" s="359"/>
      <c r="D9" s="359"/>
      <c r="E9" s="359"/>
    </row>
    <row r="11" spans="1:13" x14ac:dyDescent="0.25">
      <c r="B11" s="356" t="s">
        <v>58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</row>
    <row r="12" spans="1:13" x14ac:dyDescent="0.25">
      <c r="B12" s="361" t="s">
        <v>0</v>
      </c>
      <c r="C12" s="361" t="s">
        <v>1</v>
      </c>
      <c r="D12" s="361"/>
      <c r="E12" s="361"/>
      <c r="F12" s="361" t="s">
        <v>35</v>
      </c>
      <c r="G12" s="361"/>
      <c r="H12" s="361"/>
      <c r="I12" s="361" t="s">
        <v>36</v>
      </c>
      <c r="J12" s="361"/>
      <c r="K12" s="361" t="s">
        <v>10</v>
      </c>
      <c r="L12" s="361"/>
      <c r="M12" s="361" t="s">
        <v>34</v>
      </c>
    </row>
    <row r="13" spans="1:13" ht="75" x14ac:dyDescent="0.25">
      <c r="B13" s="361"/>
      <c r="C13" s="20" t="s">
        <v>2</v>
      </c>
      <c r="D13" s="20" t="s">
        <v>42</v>
      </c>
      <c r="E13" s="20" t="s">
        <v>3</v>
      </c>
      <c r="F13" s="20" t="s">
        <v>47</v>
      </c>
      <c r="G13" s="20" t="s">
        <v>48</v>
      </c>
      <c r="H13" s="20" t="s">
        <v>49</v>
      </c>
      <c r="I13" s="20" t="s">
        <v>50</v>
      </c>
      <c r="J13" s="20" t="s">
        <v>55</v>
      </c>
      <c r="K13" s="20" t="s">
        <v>51</v>
      </c>
      <c r="L13" s="20" t="s">
        <v>52</v>
      </c>
      <c r="M13" s="361"/>
    </row>
    <row r="14" spans="1:13" ht="24" x14ac:dyDescent="0.25">
      <c r="A14" s="1">
        <v>1</v>
      </c>
      <c r="B14" s="23" t="str">
        <f>'2. Exec Plano de Ação'!A18</f>
        <v xml:space="preserve">Comissão Exercício Profissional - CEP </v>
      </c>
      <c r="C14" s="23" t="str">
        <f>'2. Exec Plano de Ação'!B18</f>
        <v>P</v>
      </c>
      <c r="D14" s="24"/>
      <c r="E14" s="25" t="str">
        <f>'2. Exec Plano de Ação'!D18</f>
        <v>Caravana CAU</v>
      </c>
      <c r="F14" s="66">
        <v>1200</v>
      </c>
      <c r="G14" s="26">
        <v>0</v>
      </c>
      <c r="H14" s="6">
        <f>G14/F14</f>
        <v>0</v>
      </c>
      <c r="I14" s="4"/>
      <c r="J14" s="7">
        <f>I14*H14</f>
        <v>0</v>
      </c>
      <c r="K14" s="6">
        <f>I14/F14</f>
        <v>0</v>
      </c>
      <c r="L14" s="6" t="e">
        <f>J14/G14</f>
        <v>#DIV/0!</v>
      </c>
      <c r="M14" s="2"/>
    </row>
    <row r="15" spans="1:13" ht="24" x14ac:dyDescent="0.25">
      <c r="A15" s="1">
        <v>2</v>
      </c>
      <c r="B15" s="23" t="str">
        <f>'2. Exec Plano de Ação'!A19</f>
        <v xml:space="preserve">Comissão Exercício Profissional - CEP </v>
      </c>
      <c r="C15" s="23" t="str">
        <f>'2. Exec Plano de Ação'!B19</f>
        <v>P</v>
      </c>
      <c r="D15" s="24"/>
      <c r="E15" s="25" t="str">
        <f>'2. Exec Plano de Ação'!D19</f>
        <v>Cauniversitário</v>
      </c>
      <c r="F15" s="66">
        <v>3500</v>
      </c>
      <c r="G15" s="26">
        <v>0</v>
      </c>
      <c r="H15" s="6">
        <f t="shared" ref="H15:H26" si="0">G15/F15</f>
        <v>0</v>
      </c>
      <c r="I15" s="4"/>
      <c r="J15" s="7">
        <f t="shared" ref="J15:J26" si="1">I15*H15</f>
        <v>0</v>
      </c>
      <c r="K15" s="6">
        <f t="shared" ref="K15:K27" si="2">I15/F15</f>
        <v>0</v>
      </c>
      <c r="L15" s="6" t="e">
        <f t="shared" ref="L15:L26" si="3">J15/G15</f>
        <v>#DIV/0!</v>
      </c>
      <c r="M15" s="2"/>
    </row>
    <row r="16" spans="1:13" ht="24" x14ac:dyDescent="0.25">
      <c r="A16" s="1">
        <v>3</v>
      </c>
      <c r="B16" s="23" t="str">
        <f>'2. Exec Plano de Ação'!A20</f>
        <v xml:space="preserve">Comissão Exercício Profissional - CEP </v>
      </c>
      <c r="C16" s="23" t="str">
        <f>'2. Exec Plano de Ação'!B20</f>
        <v>P</v>
      </c>
      <c r="D16" s="24"/>
      <c r="E16" s="25" t="str">
        <f>'2. Exec Plano de Ação'!D20</f>
        <v>sou arquiteto, e agora?</v>
      </c>
      <c r="F16" s="66">
        <v>17000</v>
      </c>
      <c r="G16" s="26">
        <v>0</v>
      </c>
      <c r="H16" s="6">
        <f t="shared" si="0"/>
        <v>0</v>
      </c>
      <c r="I16" s="4"/>
      <c r="J16" s="7">
        <f t="shared" si="1"/>
        <v>0</v>
      </c>
      <c r="K16" s="6">
        <f t="shared" si="2"/>
        <v>0</v>
      </c>
      <c r="L16" s="6" t="e">
        <f t="shared" si="3"/>
        <v>#DIV/0!</v>
      </c>
      <c r="M16" s="2"/>
    </row>
    <row r="17" spans="1:13" ht="24" x14ac:dyDescent="0.25">
      <c r="A17" s="1">
        <v>4</v>
      </c>
      <c r="B17" s="23" t="str">
        <f>'2. Exec Plano de Ação'!A21</f>
        <v>Comissão de Ensino e Formação - CEF</v>
      </c>
      <c r="C17" s="23" t="str">
        <f>'2. Exec Plano de Ação'!B21</f>
        <v>P</v>
      </c>
      <c r="D17" s="24"/>
      <c r="E17" s="25" t="str">
        <f>'2. Exec Plano de Ação'!D21</f>
        <v>Dia do Arquiteto
(Prêmio TFG)</v>
      </c>
      <c r="F17" s="66">
        <v>22000</v>
      </c>
      <c r="G17" s="26">
        <v>0</v>
      </c>
      <c r="H17" s="6">
        <f t="shared" si="0"/>
        <v>0</v>
      </c>
      <c r="I17" s="4"/>
      <c r="J17" s="7">
        <f t="shared" si="1"/>
        <v>0</v>
      </c>
      <c r="K17" s="6">
        <f t="shared" si="2"/>
        <v>0</v>
      </c>
      <c r="L17" s="6" t="e">
        <f t="shared" si="3"/>
        <v>#DIV/0!</v>
      </c>
      <c r="M17" s="2"/>
    </row>
    <row r="18" spans="1:13" ht="24" x14ac:dyDescent="0.25">
      <c r="A18" s="1">
        <v>5</v>
      </c>
      <c r="B18" s="23" t="str">
        <f>'2. Exec Plano de Ação'!A22</f>
        <v>Comissão de Ensino e Formação - CEF</v>
      </c>
      <c r="C18" s="23" t="str">
        <f>'2. Exec Plano de Ação'!B22</f>
        <v>P</v>
      </c>
      <c r="D18" s="24"/>
      <c r="E18" s="25" t="str">
        <f>'2. Exec Plano de Ação'!D22</f>
        <v>Residência Técnica</v>
      </c>
      <c r="F18" s="66">
        <v>3250</v>
      </c>
      <c r="G18" s="26">
        <v>0</v>
      </c>
      <c r="H18" s="6">
        <f t="shared" si="0"/>
        <v>0</v>
      </c>
      <c r="I18" s="4"/>
      <c r="J18" s="7">
        <f t="shared" si="1"/>
        <v>0</v>
      </c>
      <c r="K18" s="6">
        <f t="shared" si="2"/>
        <v>0</v>
      </c>
      <c r="L18" s="6" t="e">
        <f t="shared" si="3"/>
        <v>#DIV/0!</v>
      </c>
      <c r="M18" s="2"/>
    </row>
    <row r="19" spans="1:13" ht="24" x14ac:dyDescent="0.25">
      <c r="A19" s="1">
        <v>6</v>
      </c>
      <c r="B19" s="23" t="str">
        <f>'2. Exec Plano de Ação'!A23</f>
        <v>Comissão de Ensino e Formação - CEF</v>
      </c>
      <c r="C19" s="23" t="str">
        <f>'2. Exec Plano de Ação'!B23</f>
        <v>P</v>
      </c>
      <c r="D19" s="24"/>
      <c r="E19" s="25" t="str">
        <f>'2. Exec Plano de Ação'!D23</f>
        <v>Programa de Formação continuada</v>
      </c>
      <c r="F19" s="66">
        <v>3250</v>
      </c>
      <c r="G19" s="26">
        <v>0</v>
      </c>
      <c r="H19" s="6">
        <f t="shared" si="0"/>
        <v>0</v>
      </c>
      <c r="I19" s="4"/>
      <c r="J19" s="7">
        <f t="shared" si="1"/>
        <v>0</v>
      </c>
      <c r="K19" s="6">
        <f t="shared" si="2"/>
        <v>0</v>
      </c>
      <c r="L19" s="6" t="e">
        <f t="shared" si="3"/>
        <v>#DIV/0!</v>
      </c>
      <c r="M19" s="2"/>
    </row>
    <row r="20" spans="1:13" ht="15.75" x14ac:dyDescent="0.25">
      <c r="A20" s="1">
        <v>7</v>
      </c>
      <c r="B20" s="23" t="str">
        <f>'2. Exec Plano de Ação'!A24</f>
        <v>Presidência</v>
      </c>
      <c r="C20" s="23" t="str">
        <f>'2. Exec Plano de Ação'!B24</f>
        <v>A</v>
      </c>
      <c r="D20" s="24"/>
      <c r="E20" s="25" t="str">
        <f>'2. Exec Plano de Ação'!D24</f>
        <v>Capacitação</v>
      </c>
      <c r="F20" s="66">
        <v>20055</v>
      </c>
      <c r="G20" s="29">
        <v>0</v>
      </c>
      <c r="H20" s="6">
        <f t="shared" si="0"/>
        <v>0</v>
      </c>
      <c r="I20" s="4"/>
      <c r="J20" s="7">
        <f t="shared" si="1"/>
        <v>0</v>
      </c>
      <c r="K20" s="6">
        <f t="shared" si="2"/>
        <v>0</v>
      </c>
      <c r="L20" s="6" t="e">
        <f t="shared" si="3"/>
        <v>#DIV/0!</v>
      </c>
      <c r="M20" s="2"/>
    </row>
    <row r="21" spans="1:13" ht="15.75" x14ac:dyDescent="0.25">
      <c r="A21" s="1">
        <v>8</v>
      </c>
      <c r="B21" s="23" t="str">
        <f>'2. Exec Plano de Ação'!A25</f>
        <v>Presidência</v>
      </c>
      <c r="C21" s="23" t="str">
        <f>'2. Exec Plano de Ação'!B25</f>
        <v>P</v>
      </c>
      <c r="D21" s="24"/>
      <c r="E21" s="25" t="str">
        <f>'2. Exec Plano de Ação'!D25</f>
        <v>Comunicação - plano de mídia</v>
      </c>
      <c r="F21" s="66">
        <v>30083</v>
      </c>
      <c r="G21" s="27">
        <v>0</v>
      </c>
      <c r="H21" s="6">
        <f t="shared" si="0"/>
        <v>0</v>
      </c>
      <c r="I21" s="4">
        <v>2500</v>
      </c>
      <c r="J21" s="7">
        <f t="shared" si="1"/>
        <v>0</v>
      </c>
      <c r="K21" s="6">
        <f t="shared" si="2"/>
        <v>8.3103413888242522E-2</v>
      </c>
      <c r="L21" s="6" t="e">
        <f t="shared" si="3"/>
        <v>#DIV/0!</v>
      </c>
      <c r="M21" s="2"/>
    </row>
    <row r="22" spans="1:13" ht="15.75" x14ac:dyDescent="0.25">
      <c r="A22" s="1">
        <v>9</v>
      </c>
      <c r="B22" s="23" t="str">
        <f>'2. Exec Plano de Ação'!A26</f>
        <v>Presidência</v>
      </c>
      <c r="C22" s="23" t="str">
        <f>'2. Exec Plano de Ação'!B26</f>
        <v>P</v>
      </c>
      <c r="D22" s="24"/>
      <c r="E22" s="25" t="str">
        <f>'2. Exec Plano de Ação'!D26</f>
        <v>Patrocínio</v>
      </c>
      <c r="F22" s="66">
        <v>10028</v>
      </c>
      <c r="G22" s="27">
        <v>0</v>
      </c>
      <c r="H22" s="6">
        <f t="shared" si="0"/>
        <v>0</v>
      </c>
      <c r="I22" s="4"/>
      <c r="J22" s="7">
        <f t="shared" si="1"/>
        <v>0</v>
      </c>
      <c r="K22" s="6">
        <f t="shared" si="2"/>
        <v>0</v>
      </c>
      <c r="L22" s="6" t="e">
        <f t="shared" si="3"/>
        <v>#DIV/0!</v>
      </c>
      <c r="M22" s="2"/>
    </row>
    <row r="23" spans="1:13" ht="15.75" x14ac:dyDescent="0.25">
      <c r="A23" s="1">
        <v>10</v>
      </c>
      <c r="B23" s="23" t="str">
        <f>'2. Exec Plano de Ação'!A27</f>
        <v>Presidência</v>
      </c>
      <c r="C23" s="23" t="str">
        <f>'2. Exec Plano de Ação'!B27</f>
        <v>A</v>
      </c>
      <c r="D23" s="24"/>
      <c r="E23" s="25" t="str">
        <f>'2. Exec Plano de Ação'!D27</f>
        <v>Atendimento</v>
      </c>
      <c r="F23" s="66">
        <v>127067</v>
      </c>
      <c r="G23" s="27">
        <v>0</v>
      </c>
      <c r="H23" s="6">
        <f t="shared" si="0"/>
        <v>0</v>
      </c>
      <c r="I23" s="4">
        <v>28927.85</v>
      </c>
      <c r="J23" s="7">
        <f t="shared" si="1"/>
        <v>0</v>
      </c>
      <c r="K23" s="6">
        <f t="shared" si="2"/>
        <v>0.22765824328897352</v>
      </c>
      <c r="L23" s="6" t="e">
        <f t="shared" si="3"/>
        <v>#DIV/0!</v>
      </c>
      <c r="M23" s="2"/>
    </row>
    <row r="24" spans="1:13" ht="24" x14ac:dyDescent="0.25">
      <c r="A24" s="1">
        <v>11</v>
      </c>
      <c r="B24" s="23" t="str">
        <f>'2. Exec Plano de Ação'!A28</f>
        <v>Presidência</v>
      </c>
      <c r="C24" s="23" t="str">
        <f>'2. Exec Plano de Ação'!B28</f>
        <v>A</v>
      </c>
      <c r="D24" s="24"/>
      <c r="E24" s="25" t="str">
        <f>'2. Exec Plano de Ação'!D28</f>
        <v>Manutenção das rotinas administrativas do CAU/AL</v>
      </c>
      <c r="F24" s="66">
        <v>393020</v>
      </c>
      <c r="G24" s="26">
        <v>0</v>
      </c>
      <c r="H24" s="6">
        <f t="shared" si="0"/>
        <v>0</v>
      </c>
      <c r="I24" s="4">
        <v>91445.91</v>
      </c>
      <c r="J24" s="7">
        <f t="shared" si="1"/>
        <v>0</v>
      </c>
      <c r="K24" s="6">
        <f t="shared" si="2"/>
        <v>0.23267495292860416</v>
      </c>
      <c r="L24" s="6" t="e">
        <f t="shared" si="3"/>
        <v>#DIV/0!</v>
      </c>
      <c r="M24" s="2"/>
    </row>
    <row r="25" spans="1:13" ht="15.75" x14ac:dyDescent="0.25">
      <c r="A25" s="1">
        <v>12</v>
      </c>
      <c r="B25" s="23" t="str">
        <f>'2. Exec Plano de Ação'!A29</f>
        <v>Presidência</v>
      </c>
      <c r="C25" s="23" t="str">
        <f>'2. Exec Plano de Ação'!B29</f>
        <v>A</v>
      </c>
      <c r="D25" s="24"/>
      <c r="E25" s="25" t="str">
        <f>'2. Exec Plano de Ação'!D29</f>
        <v>Fiscalização sistemática</v>
      </c>
      <c r="F25" s="66">
        <v>307283</v>
      </c>
      <c r="G25" s="26">
        <v>0</v>
      </c>
      <c r="H25" s="6">
        <f t="shared" si="0"/>
        <v>0</v>
      </c>
      <c r="I25" s="4">
        <v>59124.69</v>
      </c>
      <c r="J25" s="7">
        <f t="shared" si="1"/>
        <v>0</v>
      </c>
      <c r="K25" s="6">
        <f t="shared" si="2"/>
        <v>0.19241119749546837</v>
      </c>
      <c r="L25" s="6" t="e">
        <f t="shared" si="3"/>
        <v>#DIV/0!</v>
      </c>
      <c r="M25" s="2"/>
    </row>
    <row r="26" spans="1:13" ht="24" x14ac:dyDescent="0.25">
      <c r="A26" s="1">
        <v>13</v>
      </c>
      <c r="B26" s="23" t="str">
        <f>'2. Exec Plano de Ação'!A30</f>
        <v>Presidência</v>
      </c>
      <c r="C26" s="23" t="str">
        <f>'2. Exec Plano de Ação'!B30</f>
        <v>A</v>
      </c>
      <c r="D26" s="24"/>
      <c r="E26" s="25" t="str">
        <f>'2. Exec Plano de Ação'!D30</f>
        <v>Ações de suprimento a demanda de deslocamento de pessoal</v>
      </c>
      <c r="F26" s="66">
        <v>55000</v>
      </c>
      <c r="G26" s="26">
        <v>0</v>
      </c>
      <c r="H26" s="6">
        <f t="shared" si="0"/>
        <v>0</v>
      </c>
      <c r="I26" s="4">
        <v>20472.02</v>
      </c>
      <c r="J26" s="7">
        <f t="shared" si="1"/>
        <v>0</v>
      </c>
      <c r="K26" s="6">
        <f t="shared" si="2"/>
        <v>0.37221854545454547</v>
      </c>
      <c r="L26" s="6" t="e">
        <f t="shared" si="3"/>
        <v>#DIV/0!</v>
      </c>
      <c r="M26" s="2"/>
    </row>
    <row r="27" spans="1:13" ht="24" x14ac:dyDescent="0.25">
      <c r="A27" s="1">
        <v>14</v>
      </c>
      <c r="B27" s="23" t="str">
        <f>'2. Exec Plano de Ação'!A31</f>
        <v>Presidência</v>
      </c>
      <c r="C27" s="23" t="str">
        <f>'2. Exec Plano de Ação'!B31</f>
        <v>A</v>
      </c>
      <c r="D27" s="24"/>
      <c r="E27" s="25" t="str">
        <f>'2. Exec Plano de Ação'!D31</f>
        <v>Aporte ao centro de serviços compartilhados - CSC</v>
      </c>
      <c r="F27" s="66">
        <v>77489</v>
      </c>
      <c r="G27" s="26">
        <v>0</v>
      </c>
      <c r="H27" s="6">
        <f>G27/F27</f>
        <v>0</v>
      </c>
      <c r="I27" s="4">
        <v>19372.23</v>
      </c>
      <c r="J27" s="7">
        <f>I27*H27</f>
        <v>0</v>
      </c>
      <c r="K27" s="6">
        <f t="shared" si="2"/>
        <v>0.24999974189885016</v>
      </c>
      <c r="L27" s="6" t="e">
        <f>J27/G27</f>
        <v>#DIV/0!</v>
      </c>
      <c r="M27" s="2"/>
    </row>
    <row r="28" spans="1:13" ht="24" x14ac:dyDescent="0.25">
      <c r="A28" s="1">
        <v>15</v>
      </c>
      <c r="B28" s="23" t="str">
        <f>'2. Exec Plano de Ação'!A32</f>
        <v>Presidência</v>
      </c>
      <c r="C28" s="23" t="str">
        <f>'2. Exec Plano de Ação'!B32</f>
        <v>A</v>
      </c>
      <c r="D28" s="54"/>
      <c r="E28" s="25" t="str">
        <f>'2. Exec Plano de Ação'!D32</f>
        <v>Contribuição ao fundo nacional de apoio aos CAU/CAUFS</v>
      </c>
      <c r="F28" s="66">
        <v>37990</v>
      </c>
      <c r="G28" s="28">
        <v>0</v>
      </c>
      <c r="H28" s="52">
        <f>G28/F28</f>
        <v>0</v>
      </c>
      <c r="I28" s="4">
        <v>9497.49</v>
      </c>
      <c r="J28" s="57">
        <f>I28*H28</f>
        <v>0</v>
      </c>
      <c r="K28" s="52">
        <f>I28/F28</f>
        <v>0.24999973677283496</v>
      </c>
      <c r="L28" s="52" t="e">
        <f>J28/G28</f>
        <v>#DIV/0!</v>
      </c>
      <c r="M28" s="21"/>
    </row>
    <row r="29" spans="1:13" ht="15.75" x14ac:dyDescent="0.25">
      <c r="A29" s="1">
        <v>16</v>
      </c>
      <c r="B29" s="23" t="str">
        <f>'2. Exec Plano de Ação'!A33</f>
        <v>Presidência</v>
      </c>
      <c r="C29" s="23" t="str">
        <f>'2. Exec Plano de Ação'!B33</f>
        <v>A</v>
      </c>
      <c r="D29" s="54"/>
      <c r="E29" s="25" t="str">
        <f>'2. Exec Plano de Ação'!D33</f>
        <v>Reserva de contigência</v>
      </c>
      <c r="F29" s="66">
        <v>10028</v>
      </c>
      <c r="G29" s="55">
        <v>0</v>
      </c>
      <c r="H29" s="52">
        <f>G29/F29</f>
        <v>0</v>
      </c>
      <c r="I29" s="4"/>
      <c r="J29" s="53">
        <f>I29*H29</f>
        <v>0</v>
      </c>
      <c r="K29" s="52">
        <f>I29/F29</f>
        <v>0</v>
      </c>
      <c r="L29" s="52">
        <v>0</v>
      </c>
      <c r="M29" s="67"/>
    </row>
    <row r="30" spans="1:13" ht="24" x14ac:dyDescent="0.25">
      <c r="A30" s="1">
        <v>17</v>
      </c>
      <c r="B30" s="23" t="str">
        <f>'2. Exec Plano de Ação'!A34</f>
        <v>Comissão de Administração e Finanças - CAF</v>
      </c>
      <c r="C30" s="23" t="str">
        <f>'2. Exec Plano de Ação'!B34</f>
        <v>P</v>
      </c>
      <c r="D30" s="54"/>
      <c r="E30" s="25" t="str">
        <f>'2. Exec Plano de Ação'!D34</f>
        <v>Planejameno e redesenho dos processos do CAU/AL</v>
      </c>
      <c r="F30" s="66">
        <v>50000</v>
      </c>
      <c r="G30" s="55">
        <v>0</v>
      </c>
      <c r="H30" s="52">
        <f>G30/F30</f>
        <v>0</v>
      </c>
      <c r="I30" s="4"/>
      <c r="J30" s="53">
        <f>I30*H30</f>
        <v>0</v>
      </c>
      <c r="K30" s="52">
        <f>I30/F30</f>
        <v>0</v>
      </c>
      <c r="L30" s="52">
        <v>0</v>
      </c>
      <c r="M30" s="21"/>
    </row>
    <row r="31" spans="1:13" ht="15.75" x14ac:dyDescent="0.25">
      <c r="A31" s="1">
        <v>18</v>
      </c>
      <c r="B31" s="23" t="str">
        <f>'2. Exec Plano de Ação'!A35</f>
        <v>Presidência</v>
      </c>
      <c r="C31" s="23" t="str">
        <f>'2. Exec Plano de Ação'!B35</f>
        <v>P</v>
      </c>
      <c r="D31" s="54"/>
      <c r="E31" s="25" t="str">
        <f>'2. Exec Plano de Ação'!D35</f>
        <v xml:space="preserve">Ampliação das instalações da sede </v>
      </c>
      <c r="F31" s="66">
        <v>200000</v>
      </c>
      <c r="G31" s="28">
        <v>0</v>
      </c>
      <c r="H31" s="56">
        <f>G31/F31</f>
        <v>0</v>
      </c>
      <c r="I31" s="4">
        <v>28574.35</v>
      </c>
      <c r="J31" s="53">
        <f>I31*H31</f>
        <v>0</v>
      </c>
      <c r="K31" s="52">
        <f>I31/F31</f>
        <v>0.14287174999999999</v>
      </c>
      <c r="L31" s="52">
        <v>0</v>
      </c>
      <c r="M31" s="2"/>
    </row>
    <row r="32" spans="1:13" s="37" customFormat="1" ht="15.75" x14ac:dyDescent="0.25">
      <c r="B32" s="31" t="s">
        <v>11</v>
      </c>
      <c r="C32" s="31"/>
      <c r="D32" s="32"/>
      <c r="E32" s="32"/>
      <c r="F32" s="33">
        <f>SUM(F14:F31)</f>
        <v>1368243</v>
      </c>
      <c r="G32" s="34">
        <f>SUM(G14:G31)</f>
        <v>0</v>
      </c>
      <c r="H32" s="35" t="s">
        <v>53</v>
      </c>
      <c r="I32" s="33">
        <f>SUM(I14:I31)</f>
        <v>259914.54</v>
      </c>
      <c r="J32" s="47">
        <f>SUM(J14:J31)</f>
        <v>0</v>
      </c>
      <c r="K32" s="36">
        <f>I32/F32</f>
        <v>0.18996226547477313</v>
      </c>
      <c r="L32" s="35" t="s">
        <v>53</v>
      </c>
      <c r="M32" s="32"/>
    </row>
    <row r="33" spans="2:13" x14ac:dyDescent="0.25">
      <c r="B33" s="360" t="s">
        <v>33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  <row r="35" spans="2:13" ht="30" x14ac:dyDescent="0.25">
      <c r="B35" s="22" t="s">
        <v>59</v>
      </c>
      <c r="C35" s="353"/>
      <c r="D35" s="354"/>
      <c r="E35" s="354"/>
      <c r="F35" s="354"/>
      <c r="G35" s="354"/>
      <c r="H35" s="354"/>
      <c r="I35" s="354"/>
      <c r="J35" s="354"/>
      <c r="K35" s="354"/>
      <c r="L35" s="354"/>
      <c r="M35" s="355"/>
    </row>
  </sheetData>
  <autoFilter ref="B11:M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35:M35"/>
    <mergeCell ref="B11:M11"/>
    <mergeCell ref="B6:M6"/>
    <mergeCell ref="C8:E8"/>
    <mergeCell ref="C9:E9"/>
    <mergeCell ref="B33:M33"/>
    <mergeCell ref="B12:B13"/>
    <mergeCell ref="M12:M13"/>
    <mergeCell ref="C12:E12"/>
    <mergeCell ref="I12:J12"/>
    <mergeCell ref="K12:L12"/>
    <mergeCell ref="F12:H1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showGridLines="0" view="pageBreakPreview" zoomScale="80" zoomScaleNormal="100" zoomScaleSheetLayoutView="80" workbookViewId="0">
      <selection activeCell="M11" sqref="M11"/>
    </sheetView>
  </sheetViews>
  <sheetFormatPr defaultRowHeight="21" x14ac:dyDescent="0.35"/>
  <cols>
    <col min="1" max="1" width="48" style="79" bestFit="1" customWidth="1"/>
    <col min="2" max="2" width="16.5703125" style="79" bestFit="1" customWidth="1"/>
    <col min="3" max="3" width="18.7109375" style="79" bestFit="1" customWidth="1"/>
    <col min="4" max="4" width="11.5703125" style="79" bestFit="1" customWidth="1"/>
    <col min="5" max="5" width="16.5703125" style="79" bestFit="1" customWidth="1"/>
    <col min="6" max="6" width="20.7109375" style="79" bestFit="1" customWidth="1"/>
    <col min="7" max="7" width="11.5703125" style="107" bestFit="1" customWidth="1"/>
    <col min="8" max="8" width="11.7109375" style="108" bestFit="1" customWidth="1"/>
    <col min="9" max="16384" width="9.140625" style="79"/>
  </cols>
  <sheetData>
    <row r="1" spans="1:8" s="76" customFormat="1" x14ac:dyDescent="0.35">
      <c r="G1" s="77"/>
      <c r="H1" s="78"/>
    </row>
    <row r="2" spans="1:8" s="76" customFormat="1" x14ac:dyDescent="0.35">
      <c r="G2" s="77"/>
      <c r="H2" s="78"/>
    </row>
    <row r="3" spans="1:8" s="76" customFormat="1" x14ac:dyDescent="0.35">
      <c r="G3" s="77"/>
      <c r="H3" s="78"/>
    </row>
    <row r="4" spans="1:8" s="76" customFormat="1" x14ac:dyDescent="0.35">
      <c r="G4" s="77"/>
      <c r="H4" s="78"/>
    </row>
    <row r="5" spans="1:8" s="76" customFormat="1" x14ac:dyDescent="0.35">
      <c r="G5" s="77"/>
      <c r="H5" s="78"/>
    </row>
    <row r="6" spans="1:8" x14ac:dyDescent="0.35">
      <c r="A6" s="362" t="str">
        <f>'Dem Fontes e Usos'!A6:G6</f>
        <v>Relatório Mensal – Exercício 2017</v>
      </c>
      <c r="B6" s="340"/>
      <c r="C6" s="340"/>
      <c r="D6" s="340"/>
      <c r="E6" s="340"/>
      <c r="F6" s="340"/>
      <c r="G6" s="340"/>
      <c r="H6" s="340"/>
    </row>
    <row r="7" spans="1:8" x14ac:dyDescent="0.35">
      <c r="A7" s="366" t="str">
        <f>'Dem Fontes e Usos'!A7:G7</f>
        <v>RESPONSÁVEL PELA ELABORAÇÃO:  José Rodrigo Lopes - Gerente Administrativo e Financeiro</v>
      </c>
      <c r="B7" s="341"/>
      <c r="C7" s="341"/>
      <c r="D7" s="341"/>
      <c r="E7" s="341"/>
      <c r="F7" s="341"/>
      <c r="G7" s="341"/>
      <c r="H7" s="341"/>
    </row>
    <row r="8" spans="1:8" x14ac:dyDescent="0.35">
      <c r="A8" s="366" t="str">
        <f>'Dem Fontes e Usos'!A8:G8</f>
        <v>DATA DE ELABORAÇÃO:  14-09-2017</v>
      </c>
      <c r="B8" s="341"/>
      <c r="C8" s="341"/>
      <c r="D8" s="341"/>
      <c r="E8" s="341"/>
      <c r="F8" s="341"/>
      <c r="G8" s="341"/>
      <c r="H8" s="341"/>
    </row>
    <row r="9" spans="1:8" x14ac:dyDescent="0.35">
      <c r="A9" s="366" t="str">
        <f>'Dem Fontes e Usos'!A9:G9</f>
        <v xml:space="preserve">Período: Jan-Ago-2017 </v>
      </c>
      <c r="B9" s="341"/>
      <c r="C9" s="341"/>
      <c r="D9" s="341"/>
      <c r="E9" s="341"/>
      <c r="F9" s="341"/>
      <c r="G9" s="341"/>
      <c r="H9" s="341"/>
    </row>
    <row r="10" spans="1:8" ht="21" customHeight="1" x14ac:dyDescent="0.35">
      <c r="A10" s="342" t="s">
        <v>205</v>
      </c>
      <c r="B10" s="342"/>
      <c r="C10" s="342"/>
      <c r="D10" s="342"/>
      <c r="E10" s="342"/>
      <c r="F10" s="342"/>
      <c r="G10" s="342"/>
      <c r="H10" s="144"/>
    </row>
    <row r="11" spans="1:8" ht="63" x14ac:dyDescent="0.35">
      <c r="A11" s="80" t="s">
        <v>12</v>
      </c>
      <c r="B11" s="81" t="s">
        <v>99</v>
      </c>
      <c r="C11" s="81" t="s">
        <v>235</v>
      </c>
      <c r="D11" s="82" t="s">
        <v>98</v>
      </c>
      <c r="E11" s="83" t="s">
        <v>201</v>
      </c>
      <c r="F11" s="81" t="s">
        <v>236</v>
      </c>
      <c r="G11" s="84" t="s">
        <v>98</v>
      </c>
      <c r="H11" s="84" t="s">
        <v>206</v>
      </c>
    </row>
    <row r="12" spans="1:8" x14ac:dyDescent="0.35">
      <c r="A12" s="363" t="s">
        <v>202</v>
      </c>
      <c r="B12" s="364"/>
      <c r="C12" s="364"/>
      <c r="D12" s="364"/>
      <c r="E12" s="364"/>
      <c r="F12" s="364"/>
      <c r="G12" s="364"/>
      <c r="H12" s="365"/>
    </row>
    <row r="13" spans="1:8" x14ac:dyDescent="0.35">
      <c r="A13" s="85" t="s">
        <v>20</v>
      </c>
      <c r="B13" s="86">
        <f>B14+B22+B21</f>
        <v>1168243</v>
      </c>
      <c r="C13" s="86">
        <f>C14+C22+C21</f>
        <v>638568.04</v>
      </c>
      <c r="D13" s="87">
        <f>C13/B13</f>
        <v>0.54660549217928123</v>
      </c>
      <c r="E13" s="86">
        <f>E14+E22+E21</f>
        <v>1140356</v>
      </c>
      <c r="F13" s="86">
        <f>'Dem Fontes e Usos'!C13</f>
        <v>831802.40999999992</v>
      </c>
      <c r="G13" s="88">
        <f>F13/E13</f>
        <v>0.72942345197464642</v>
      </c>
      <c r="H13" s="139">
        <f>F13/C13</f>
        <v>1.3026057646104554</v>
      </c>
    </row>
    <row r="14" spans="1:8" x14ac:dyDescent="0.35">
      <c r="A14" s="90" t="s">
        <v>13</v>
      </c>
      <c r="B14" s="91">
        <f>B15+B20</f>
        <v>1138243</v>
      </c>
      <c r="C14" s="91">
        <f>C15+C20</f>
        <v>613569.63</v>
      </c>
      <c r="D14" s="92">
        <f t="shared" ref="D14:D27" si="0">C14/B14</f>
        <v>0.53904977232453877</v>
      </c>
      <c r="E14" s="91">
        <f>E15+E20</f>
        <v>1032778</v>
      </c>
      <c r="F14" s="91">
        <f>'Dem Fontes e Usos'!C14</f>
        <v>771446.17999999993</v>
      </c>
      <c r="G14" s="93">
        <f t="shared" ref="G14:G27" si="1">F14/E14</f>
        <v>0.74696225132603511</v>
      </c>
      <c r="H14" s="94">
        <f t="shared" ref="H14:H27" si="2">F14/C14</f>
        <v>1.257308286265733</v>
      </c>
    </row>
    <row r="15" spans="1:8" x14ac:dyDescent="0.35">
      <c r="A15" s="95" t="s">
        <v>14</v>
      </c>
      <c r="B15" s="96">
        <f>SUM(B16:B19)</f>
        <v>500870</v>
      </c>
      <c r="C15" s="96">
        <f>SUM(C16:C19)</f>
        <v>343962.98</v>
      </c>
      <c r="D15" s="97">
        <f t="shared" si="0"/>
        <v>0.68673104797652085</v>
      </c>
      <c r="E15" s="96">
        <f>SUM(E16:E19)</f>
        <v>548558</v>
      </c>
      <c r="F15" s="96">
        <f>'Dem Fontes e Usos'!C15</f>
        <v>445152.14</v>
      </c>
      <c r="G15" s="98">
        <f t="shared" si="1"/>
        <v>0.81149511993262335</v>
      </c>
      <c r="H15" s="99">
        <f t="shared" si="2"/>
        <v>1.2941861941072845</v>
      </c>
    </row>
    <row r="16" spans="1:8" x14ac:dyDescent="0.35">
      <c r="A16" s="100" t="s">
        <v>15</v>
      </c>
      <c r="B16" s="101">
        <v>424048</v>
      </c>
      <c r="C16" s="216">
        <v>310026.42</v>
      </c>
      <c r="D16" s="92">
        <f t="shared" si="0"/>
        <v>0.73111161943930869</v>
      </c>
      <c r="E16" s="101">
        <f>'Dem Fontes e Usos'!B16</f>
        <v>469006</v>
      </c>
      <c r="F16" s="101">
        <f>'Dem Fontes e Usos'!C16</f>
        <v>392328.08</v>
      </c>
      <c r="G16" s="93">
        <f t="shared" si="1"/>
        <v>0.83650972482228381</v>
      </c>
      <c r="H16" s="94">
        <f t="shared" si="2"/>
        <v>1.2654666012012783</v>
      </c>
    </row>
    <row r="17" spans="1:8" x14ac:dyDescent="0.35">
      <c r="A17" s="100" t="s">
        <v>16</v>
      </c>
      <c r="B17" s="101">
        <v>30613</v>
      </c>
      <c r="C17" s="216">
        <v>17769.490000000002</v>
      </c>
      <c r="D17" s="92">
        <f t="shared" si="0"/>
        <v>0.58045568875967735</v>
      </c>
      <c r="E17" s="101">
        <f>'Dem Fontes e Usos'!B17</f>
        <v>33306</v>
      </c>
      <c r="F17" s="101">
        <f>'Dem Fontes e Usos'!C17</f>
        <v>19981.830000000002</v>
      </c>
      <c r="G17" s="93">
        <f t="shared" si="1"/>
        <v>0.59994685642226631</v>
      </c>
      <c r="H17" s="94">
        <f t="shared" si="2"/>
        <v>1.1245021663536769</v>
      </c>
    </row>
    <row r="18" spans="1:8" x14ac:dyDescent="0.35">
      <c r="A18" s="100" t="s">
        <v>17</v>
      </c>
      <c r="B18" s="101">
        <f>26209+20000</f>
        <v>46209</v>
      </c>
      <c r="C18" s="216">
        <f>735.57+133.73+5660.43+7394.29+175.5+2067.55</f>
        <v>16167.07</v>
      </c>
      <c r="D18" s="92">
        <f t="shared" si="0"/>
        <v>0.34986842390010603</v>
      </c>
      <c r="E18" s="101">
        <f>'Dem Fontes e Usos'!B18</f>
        <v>46246</v>
      </c>
      <c r="F18" s="101">
        <f>'Dem Fontes e Usos'!C18</f>
        <v>32842.230000000003</v>
      </c>
      <c r="G18" s="93">
        <f t="shared" si="1"/>
        <v>0.71016368983263423</v>
      </c>
      <c r="H18" s="94">
        <f t="shared" si="2"/>
        <v>2.0314274633560689</v>
      </c>
    </row>
    <row r="19" spans="1:8" x14ac:dyDescent="0.35">
      <c r="A19" s="100" t="s">
        <v>65</v>
      </c>
      <c r="B19" s="101">
        <v>0</v>
      </c>
      <c r="C19" s="101">
        <v>0</v>
      </c>
      <c r="D19" s="92" t="s">
        <v>64</v>
      </c>
      <c r="E19" s="101">
        <v>0</v>
      </c>
      <c r="F19" s="91">
        <f>'Dem Fontes e Usos'!C19</f>
        <v>0</v>
      </c>
      <c r="G19" s="93" t="s">
        <v>64</v>
      </c>
      <c r="H19" s="94" t="s">
        <v>64</v>
      </c>
    </row>
    <row r="20" spans="1:8" x14ac:dyDescent="0.35">
      <c r="A20" s="95" t="s">
        <v>18</v>
      </c>
      <c r="B20" s="96">
        <v>637373</v>
      </c>
      <c r="C20" s="217">
        <v>269606.65000000002</v>
      </c>
      <c r="D20" s="97">
        <f t="shared" si="0"/>
        <v>0.42299665972672207</v>
      </c>
      <c r="E20" s="96">
        <f>'Dem Fontes e Usos'!B20</f>
        <v>484220</v>
      </c>
      <c r="F20" s="101">
        <f>'Dem Fontes e Usos'!C20</f>
        <v>326294.03999999998</v>
      </c>
      <c r="G20" s="98">
        <f t="shared" si="1"/>
        <v>0.67385494196852669</v>
      </c>
      <c r="H20" s="99">
        <f t="shared" si="2"/>
        <v>1.2102596134034527</v>
      </c>
    </row>
    <row r="21" spans="1:8" x14ac:dyDescent="0.35">
      <c r="A21" s="90" t="s">
        <v>37</v>
      </c>
      <c r="B21" s="91">
        <v>0</v>
      </c>
      <c r="C21" s="217">
        <v>0</v>
      </c>
      <c r="D21" s="92" t="s">
        <v>64</v>
      </c>
      <c r="E21" s="91">
        <f>'Dem Fontes e Usos'!B21</f>
        <v>82315</v>
      </c>
      <c r="F21" s="101">
        <f>'Dem Fontes e Usos'!C21</f>
        <v>41157.480000000003</v>
      </c>
      <c r="G21" s="93">
        <f t="shared" si="1"/>
        <v>0.49999975703091787</v>
      </c>
      <c r="H21" s="94" t="s">
        <v>64</v>
      </c>
    </row>
    <row r="22" spans="1:8" x14ac:dyDescent="0.35">
      <c r="A22" s="95" t="s">
        <v>38</v>
      </c>
      <c r="B22" s="96">
        <f>SUM(B23:B24)</f>
        <v>30000</v>
      </c>
      <c r="C22" s="96">
        <f>SUM(C23:C24)</f>
        <v>24998.41</v>
      </c>
      <c r="D22" s="97">
        <f t="shared" si="0"/>
        <v>0.83328033333333329</v>
      </c>
      <c r="E22" s="96">
        <f>SUM(E23:E24)</f>
        <v>25263</v>
      </c>
      <c r="F22" s="96">
        <f>'Dem Fontes e Usos'!C22</f>
        <v>19198.75</v>
      </c>
      <c r="G22" s="98" t="s">
        <v>64</v>
      </c>
      <c r="H22" s="99">
        <f t="shared" si="2"/>
        <v>0.76799884472652458</v>
      </c>
    </row>
    <row r="23" spans="1:8" x14ac:dyDescent="0.35">
      <c r="A23" s="100" t="s">
        <v>39</v>
      </c>
      <c r="B23" s="101">
        <v>30000</v>
      </c>
      <c r="C23" s="216">
        <v>24987.4</v>
      </c>
      <c r="D23" s="92">
        <f t="shared" si="0"/>
        <v>0.83291333333333339</v>
      </c>
      <c r="E23" s="101">
        <f>'Dem Fontes e Usos'!B23</f>
        <v>25263</v>
      </c>
      <c r="F23" s="101">
        <f>'Dem Fontes e Usos'!C23</f>
        <v>19198.75</v>
      </c>
      <c r="G23" s="93" t="s">
        <v>64</v>
      </c>
      <c r="H23" s="94">
        <f t="shared" si="2"/>
        <v>0.76833724196995279</v>
      </c>
    </row>
    <row r="24" spans="1:8" x14ac:dyDescent="0.35">
      <c r="A24" s="100" t="s">
        <v>40</v>
      </c>
      <c r="B24" s="101">
        <v>0</v>
      </c>
      <c r="C24" s="216">
        <v>11.01</v>
      </c>
      <c r="D24" s="92" t="s">
        <v>64</v>
      </c>
      <c r="E24" s="101">
        <f>'Dem Fontes e Usos'!B24</f>
        <v>0</v>
      </c>
      <c r="F24" s="101">
        <f>'Dem Fontes e Usos'!C24</f>
        <v>0</v>
      </c>
      <c r="G24" s="93" t="s">
        <v>64</v>
      </c>
      <c r="H24" s="94" t="s">
        <v>64</v>
      </c>
    </row>
    <row r="25" spans="1:8" x14ac:dyDescent="0.35">
      <c r="A25" s="85" t="s">
        <v>21</v>
      </c>
      <c r="B25" s="86">
        <f>B26</f>
        <v>200000</v>
      </c>
      <c r="C25" s="86">
        <f>C26</f>
        <v>0</v>
      </c>
      <c r="D25" s="87">
        <f t="shared" si="0"/>
        <v>0</v>
      </c>
      <c r="E25" s="86">
        <f>E26</f>
        <v>118791</v>
      </c>
      <c r="F25" s="86">
        <f>F26</f>
        <v>0</v>
      </c>
      <c r="G25" s="88">
        <f t="shared" si="1"/>
        <v>0</v>
      </c>
      <c r="H25" s="89" t="s">
        <v>64</v>
      </c>
    </row>
    <row r="26" spans="1:8" x14ac:dyDescent="0.35">
      <c r="A26" s="100" t="s">
        <v>19</v>
      </c>
      <c r="B26" s="101">
        <v>200000</v>
      </c>
      <c r="C26" s="101">
        <v>0</v>
      </c>
      <c r="D26" s="102">
        <f t="shared" si="0"/>
        <v>0</v>
      </c>
      <c r="E26" s="103">
        <f>'Dem Fontes e Usos'!B26</f>
        <v>118791</v>
      </c>
      <c r="F26" s="103"/>
      <c r="G26" s="93">
        <f t="shared" si="1"/>
        <v>0</v>
      </c>
      <c r="H26" s="94" t="s">
        <v>64</v>
      </c>
    </row>
    <row r="27" spans="1:8" x14ac:dyDescent="0.35">
      <c r="A27" s="85" t="s">
        <v>22</v>
      </c>
      <c r="B27" s="86">
        <f>B13+B25</f>
        <v>1368243</v>
      </c>
      <c r="C27" s="86">
        <f>C13+C25</f>
        <v>638568.04</v>
      </c>
      <c r="D27" s="104">
        <f t="shared" si="0"/>
        <v>0.46670660109351925</v>
      </c>
      <c r="E27" s="105">
        <f>E13+E25</f>
        <v>1259147</v>
      </c>
      <c r="F27" s="86">
        <f>F13+F25</f>
        <v>831802.40999999992</v>
      </c>
      <c r="G27" s="88">
        <f t="shared" si="1"/>
        <v>0.66060786389516069</v>
      </c>
      <c r="H27" s="89">
        <f t="shared" si="2"/>
        <v>1.3026057646104554</v>
      </c>
    </row>
    <row r="28" spans="1:8" x14ac:dyDescent="0.35">
      <c r="C28" s="106"/>
      <c r="D28" s="107"/>
    </row>
    <row r="29" spans="1:8" x14ac:dyDescent="0.35">
      <c r="C29" s="109"/>
      <c r="D29" s="107"/>
    </row>
  </sheetData>
  <mergeCells count="6">
    <mergeCell ref="A6:H6"/>
    <mergeCell ref="A12:H12"/>
    <mergeCell ref="A9:H9"/>
    <mergeCell ref="A8:H8"/>
    <mergeCell ref="A7:H7"/>
    <mergeCell ref="A10:G10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2"/>
  <sheetViews>
    <sheetView showGridLines="0" view="pageBreakPreview" topLeftCell="A10" zoomScaleSheetLayoutView="100" workbookViewId="0">
      <selection activeCell="F26" sqref="F26"/>
    </sheetView>
  </sheetViews>
  <sheetFormatPr defaultColWidth="68" defaultRowHeight="15" x14ac:dyDescent="0.25"/>
  <cols>
    <col min="1" max="1" width="37.85546875" bestFit="1" customWidth="1"/>
    <col min="2" max="2" width="9.85546875" bestFit="1" customWidth="1"/>
    <col min="3" max="3" width="54.7109375" bestFit="1" customWidth="1"/>
    <col min="4" max="4" width="12.5703125" customWidth="1"/>
    <col min="5" max="5" width="17.5703125" customWidth="1"/>
    <col min="6" max="6" width="11.140625" customWidth="1"/>
    <col min="7" max="7" width="17.28515625" customWidth="1"/>
    <col min="8" max="8" width="15.140625" customWidth="1"/>
  </cols>
  <sheetData>
    <row r="1" spans="1:8" s="76" customFormat="1" ht="21" x14ac:dyDescent="0.35">
      <c r="G1" s="77"/>
      <c r="H1" s="78"/>
    </row>
    <row r="2" spans="1:8" s="76" customFormat="1" ht="21" x14ac:dyDescent="0.35">
      <c r="G2" s="77"/>
      <c r="H2" s="78"/>
    </row>
    <row r="3" spans="1:8" s="76" customFormat="1" ht="21" x14ac:dyDescent="0.35">
      <c r="G3" s="77"/>
      <c r="H3" s="78"/>
    </row>
    <row r="4" spans="1:8" s="76" customFormat="1" ht="21" x14ac:dyDescent="0.35">
      <c r="G4" s="77"/>
      <c r="H4" s="78"/>
    </row>
    <row r="5" spans="1:8" s="76" customFormat="1" ht="21" x14ac:dyDescent="0.35">
      <c r="G5" s="77"/>
      <c r="H5" s="78"/>
    </row>
    <row r="6" spans="1:8" s="79" customFormat="1" ht="21" x14ac:dyDescent="0.35">
      <c r="A6" s="362" t="str">
        <f>'Dem Fontes e Usos'!A6:G6</f>
        <v>Relatório Mensal – Exercício 2017</v>
      </c>
      <c r="B6" s="340"/>
      <c r="C6" s="340"/>
      <c r="D6" s="340"/>
      <c r="E6" s="340"/>
      <c r="F6" s="340"/>
      <c r="G6" s="340"/>
      <c r="H6" s="340"/>
    </row>
    <row r="7" spans="1:8" s="79" customFormat="1" ht="21" x14ac:dyDescent="0.35">
      <c r="A7" s="366" t="str">
        <f>'Dem Fontes e Usos'!A7:G7</f>
        <v>RESPONSÁVEL PELA ELABORAÇÃO:  José Rodrigo Lopes - Gerente Administrativo e Financeiro</v>
      </c>
      <c r="B7" s="341"/>
      <c r="C7" s="341"/>
      <c r="D7" s="341"/>
      <c r="E7" s="341"/>
      <c r="F7" s="341"/>
      <c r="G7" s="341"/>
      <c r="H7" s="341"/>
    </row>
    <row r="8" spans="1:8" s="79" customFormat="1" ht="21" x14ac:dyDescent="0.35">
      <c r="A8" s="366" t="str">
        <f>'Dem Fontes e Usos'!A8:G8</f>
        <v>DATA DE ELABORAÇÃO:  14-09-2017</v>
      </c>
      <c r="B8" s="341"/>
      <c r="C8" s="341"/>
      <c r="D8" s="341"/>
      <c r="E8" s="341"/>
      <c r="F8" s="341"/>
      <c r="G8" s="341"/>
      <c r="H8" s="341"/>
    </row>
    <row r="9" spans="1:8" s="79" customFormat="1" ht="21" x14ac:dyDescent="0.35">
      <c r="A9" s="366" t="str">
        <f>'Dem Fontes e Usos'!A9:G9</f>
        <v xml:space="preserve">Período: Jan-Ago-2017 </v>
      </c>
      <c r="B9" s="341"/>
      <c r="C9" s="341"/>
      <c r="D9" s="341"/>
      <c r="E9" s="341"/>
      <c r="F9" s="341"/>
      <c r="G9" s="341"/>
      <c r="H9" s="341"/>
    </row>
    <row r="10" spans="1:8" s="79" customFormat="1" ht="21.75" customHeight="1" thickBot="1" x14ac:dyDescent="0.4">
      <c r="A10" s="342" t="s">
        <v>118</v>
      </c>
      <c r="B10" s="342"/>
      <c r="C10" s="342"/>
      <c r="D10" s="342"/>
      <c r="E10" s="342"/>
      <c r="F10" s="342"/>
      <c r="G10" s="342"/>
      <c r="H10" s="144"/>
    </row>
    <row r="11" spans="1:8" s="1" customFormat="1" ht="62.25" customHeight="1" x14ac:dyDescent="0.25">
      <c r="A11" s="110" t="s">
        <v>56</v>
      </c>
      <c r="B11" s="111" t="s">
        <v>120</v>
      </c>
      <c r="C11" s="111" t="s">
        <v>3</v>
      </c>
      <c r="D11" s="111" t="s">
        <v>129</v>
      </c>
      <c r="E11" s="111" t="s">
        <v>127</v>
      </c>
      <c r="F11" s="111" t="s">
        <v>128</v>
      </c>
      <c r="G11" s="111" t="s">
        <v>84</v>
      </c>
      <c r="H11" s="112" t="s">
        <v>85</v>
      </c>
    </row>
    <row r="12" spans="1:8" s="1" customFormat="1" x14ac:dyDescent="0.25">
      <c r="A12" s="235" t="s">
        <v>67</v>
      </c>
      <c r="B12" s="236" t="s">
        <v>43</v>
      </c>
      <c r="C12" s="197" t="s">
        <v>71</v>
      </c>
      <c r="D12" s="113">
        <v>1000</v>
      </c>
      <c r="E12" s="114">
        <f>D12/$D$27</f>
        <v>8.8078154917672024E-4</v>
      </c>
      <c r="F12" s="213">
        <v>750</v>
      </c>
      <c r="G12" s="114">
        <f t="shared" ref="G12:G26" si="0">F12/D12</f>
        <v>0.75</v>
      </c>
      <c r="H12" s="115">
        <f>F12/$D$27</f>
        <v>6.6058616188254015E-4</v>
      </c>
    </row>
    <row r="13" spans="1:8" s="1" customFormat="1" x14ac:dyDescent="0.25">
      <c r="A13" s="235" t="s">
        <v>67</v>
      </c>
      <c r="B13" s="236" t="s">
        <v>43</v>
      </c>
      <c r="C13" s="197" t="s">
        <v>88</v>
      </c>
      <c r="D13" s="113">
        <v>10000</v>
      </c>
      <c r="E13" s="114">
        <f>D13/$D$27</f>
        <v>8.8078154917672017E-3</v>
      </c>
      <c r="F13" s="213">
        <v>0</v>
      </c>
      <c r="G13" s="114">
        <f t="shared" si="0"/>
        <v>0</v>
      </c>
      <c r="H13" s="115">
        <f>F13/$D$27</f>
        <v>0</v>
      </c>
    </row>
    <row r="14" spans="1:8" s="1" customFormat="1" x14ac:dyDescent="0.25">
      <c r="A14" s="235" t="s">
        <v>68</v>
      </c>
      <c r="B14" s="236" t="s">
        <v>43</v>
      </c>
      <c r="C14" s="197" t="s">
        <v>214</v>
      </c>
      <c r="D14" s="113">
        <v>30000</v>
      </c>
      <c r="E14" s="114">
        <f>D14/$D$27</f>
        <v>2.6423446475301607E-2</v>
      </c>
      <c r="F14" s="213">
        <v>0</v>
      </c>
      <c r="G14" s="114">
        <f t="shared" si="0"/>
        <v>0</v>
      </c>
      <c r="H14" s="115">
        <f>F14/$D$27</f>
        <v>0</v>
      </c>
    </row>
    <row r="15" spans="1:8" s="1" customFormat="1" hidden="1" x14ac:dyDescent="0.25">
      <c r="A15" s="235" t="s">
        <v>68</v>
      </c>
      <c r="B15" s="236" t="s">
        <v>43</v>
      </c>
      <c r="C15" s="197" t="s">
        <v>90</v>
      </c>
      <c r="D15" s="113">
        <v>0</v>
      </c>
      <c r="E15" s="114">
        <f t="shared" ref="E15:E16" si="1">D15/$D$27</f>
        <v>0</v>
      </c>
      <c r="F15" s="213">
        <v>0</v>
      </c>
      <c r="G15" s="114" t="e">
        <f t="shared" si="0"/>
        <v>#DIV/0!</v>
      </c>
      <c r="H15" s="115">
        <f t="shared" ref="H15:H16" si="2">F15/$D$27</f>
        <v>0</v>
      </c>
    </row>
    <row r="16" spans="1:8" s="1" customFormat="1" hidden="1" x14ac:dyDescent="0.25">
      <c r="A16" s="235" t="s">
        <v>68</v>
      </c>
      <c r="B16" s="236" t="s">
        <v>43</v>
      </c>
      <c r="C16" s="197" t="s">
        <v>91</v>
      </c>
      <c r="D16" s="113">
        <v>0</v>
      </c>
      <c r="E16" s="114">
        <f t="shared" si="1"/>
        <v>0</v>
      </c>
      <c r="F16" s="213">
        <v>0</v>
      </c>
      <c r="G16" s="114" t="e">
        <f t="shared" si="0"/>
        <v>#DIV/0!</v>
      </c>
      <c r="H16" s="115">
        <f t="shared" si="2"/>
        <v>0</v>
      </c>
    </row>
    <row r="17" spans="1:8" s="1" customFormat="1" x14ac:dyDescent="0.25">
      <c r="A17" s="235" t="s">
        <v>69</v>
      </c>
      <c r="B17" s="236" t="s">
        <v>44</v>
      </c>
      <c r="C17" s="197" t="s">
        <v>73</v>
      </c>
      <c r="D17" s="113">
        <v>11000</v>
      </c>
      <c r="E17" s="114">
        <f t="shared" ref="E17:E27" si="3">D17/$D$27</f>
        <v>9.688597040943922E-3</v>
      </c>
      <c r="F17" s="213">
        <f>4200+4232.86</f>
        <v>8432.86</v>
      </c>
      <c r="G17" s="114">
        <f t="shared" si="0"/>
        <v>0.7666236363636364</v>
      </c>
      <c r="H17" s="115">
        <f t="shared" ref="H17:H27" si="4">F17/$D$27</f>
        <v>7.4275074947903977E-3</v>
      </c>
    </row>
    <row r="18" spans="1:8" s="1" customFormat="1" x14ac:dyDescent="0.25">
      <c r="A18" s="235" t="s">
        <v>69</v>
      </c>
      <c r="B18" s="236" t="s">
        <v>44</v>
      </c>
      <c r="C18" s="197" t="s">
        <v>74</v>
      </c>
      <c r="D18" s="113">
        <v>31000</v>
      </c>
      <c r="E18" s="114">
        <f t="shared" si="3"/>
        <v>2.7304228024478329E-2</v>
      </c>
      <c r="F18" s="213">
        <f>17500+2500</f>
        <v>20000</v>
      </c>
      <c r="G18" s="114">
        <f t="shared" si="0"/>
        <v>0.64516129032258063</v>
      </c>
      <c r="H18" s="115">
        <f t="shared" si="4"/>
        <v>1.7615630983534403E-2</v>
      </c>
    </row>
    <row r="19" spans="1:8" s="1" customFormat="1" x14ac:dyDescent="0.25">
      <c r="A19" s="235" t="s">
        <v>69</v>
      </c>
      <c r="B19" s="236" t="s">
        <v>44</v>
      </c>
      <c r="C19" s="197" t="s">
        <v>92</v>
      </c>
      <c r="D19" s="113">
        <v>147000</v>
      </c>
      <c r="E19" s="114">
        <f t="shared" si="3"/>
        <v>0.12947488772897789</v>
      </c>
      <c r="F19" s="214">
        <f>75080.83+16495.62</f>
        <v>91576.45</v>
      </c>
      <c r="G19" s="114">
        <f t="shared" si="0"/>
        <v>0.62296904761904759</v>
      </c>
      <c r="H19" s="115">
        <f t="shared" si="4"/>
        <v>8.0658847499104458E-2</v>
      </c>
    </row>
    <row r="20" spans="1:8" s="1" customFormat="1" x14ac:dyDescent="0.25">
      <c r="A20" s="235" t="s">
        <v>69</v>
      </c>
      <c r="B20" s="236" t="s">
        <v>44</v>
      </c>
      <c r="C20" s="197" t="s">
        <v>93</v>
      </c>
      <c r="D20" s="113">
        <v>427900</v>
      </c>
      <c r="E20" s="114">
        <f t="shared" si="3"/>
        <v>0.37688642489271856</v>
      </c>
      <c r="F20" s="214">
        <v>254034.86</v>
      </c>
      <c r="G20" s="114">
        <f t="shared" si="0"/>
        <v>0.59367810236036456</v>
      </c>
      <c r="H20" s="115">
        <f t="shared" si="4"/>
        <v>0.22374921753569124</v>
      </c>
    </row>
    <row r="21" spans="1:8" s="1" customFormat="1" x14ac:dyDescent="0.25">
      <c r="A21" s="235" t="s">
        <v>69</v>
      </c>
      <c r="B21" s="236" t="s">
        <v>44</v>
      </c>
      <c r="C21" s="197" t="s">
        <v>76</v>
      </c>
      <c r="D21" s="113">
        <v>263160</v>
      </c>
      <c r="E21" s="114">
        <f t="shared" si="3"/>
        <v>0.23178647248134571</v>
      </c>
      <c r="F21" s="213">
        <f>133873.8+20328.5</f>
        <v>154202.29999999999</v>
      </c>
      <c r="G21" s="114">
        <f t="shared" si="0"/>
        <v>0.58596405228758164</v>
      </c>
      <c r="H21" s="115">
        <f t="shared" si="4"/>
        <v>0.13581854068061336</v>
      </c>
    </row>
    <row r="22" spans="1:8" s="1" customFormat="1" x14ac:dyDescent="0.25">
      <c r="A22" s="235" t="s">
        <v>69</v>
      </c>
      <c r="B22" s="236" t="s">
        <v>44</v>
      </c>
      <c r="C22" s="197" t="s">
        <v>72</v>
      </c>
      <c r="D22" s="113">
        <v>50000</v>
      </c>
      <c r="E22" s="114">
        <f t="shared" si="3"/>
        <v>4.4039077458836014E-2</v>
      </c>
      <c r="F22" s="213">
        <f>33992.38+3286.91</f>
        <v>37279.289999999994</v>
      </c>
      <c r="G22" s="114">
        <f t="shared" si="0"/>
        <v>0.74558579999999985</v>
      </c>
      <c r="H22" s="115">
        <f t="shared" si="4"/>
        <v>3.2834910798408209E-2</v>
      </c>
    </row>
    <row r="23" spans="1:8" s="1" customFormat="1" x14ac:dyDescent="0.25">
      <c r="A23" s="235" t="s">
        <v>69</v>
      </c>
      <c r="B23" s="236" t="s">
        <v>44</v>
      </c>
      <c r="C23" s="197" t="s">
        <v>78</v>
      </c>
      <c r="D23" s="113">
        <v>85725</v>
      </c>
      <c r="E23" s="114">
        <f t="shared" si="3"/>
        <v>7.5504998303174337E-2</v>
      </c>
      <c r="F23" s="214">
        <f>50006.18+7143.74</f>
        <v>57149.919999999998</v>
      </c>
      <c r="G23" s="114">
        <f t="shared" si="0"/>
        <v>0.66666573344998536</v>
      </c>
      <c r="H23" s="115">
        <f t="shared" si="4"/>
        <v>5.0336595072925629E-2</v>
      </c>
    </row>
    <row r="24" spans="1:8" s="1" customFormat="1" x14ac:dyDescent="0.25">
      <c r="A24" s="235" t="s">
        <v>69</v>
      </c>
      <c r="B24" s="236" t="s">
        <v>44</v>
      </c>
      <c r="C24" s="197" t="s">
        <v>79</v>
      </c>
      <c r="D24" s="113">
        <v>35884</v>
      </c>
      <c r="E24" s="114">
        <f t="shared" si="3"/>
        <v>3.1605965110657427E-2</v>
      </c>
      <c r="F24" s="214">
        <f>20932.31+2990.33</f>
        <v>23922.639999999999</v>
      </c>
      <c r="G24" s="116">
        <f t="shared" si="0"/>
        <v>0.66666592353137888</v>
      </c>
      <c r="H24" s="115">
        <f t="shared" si="4"/>
        <v>2.1070619919596974E-2</v>
      </c>
    </row>
    <row r="25" spans="1:8" s="1" customFormat="1" x14ac:dyDescent="0.25">
      <c r="A25" s="235" t="s">
        <v>69</v>
      </c>
      <c r="B25" s="236" t="s">
        <v>44</v>
      </c>
      <c r="C25" s="197" t="s">
        <v>160</v>
      </c>
      <c r="D25" s="113">
        <v>10650</v>
      </c>
      <c r="E25" s="114">
        <f t="shared" si="3"/>
        <v>9.3803234987320707E-3</v>
      </c>
      <c r="F25" s="213">
        <v>0</v>
      </c>
      <c r="G25" s="116">
        <f t="shared" si="0"/>
        <v>0</v>
      </c>
      <c r="H25" s="115">
        <f t="shared" si="4"/>
        <v>0</v>
      </c>
    </row>
    <row r="26" spans="1:8" s="1" customFormat="1" ht="21.75" customHeight="1" x14ac:dyDescent="0.25">
      <c r="A26" s="235" t="s">
        <v>69</v>
      </c>
      <c r="B26" s="236" t="s">
        <v>43</v>
      </c>
      <c r="C26" s="197" t="s">
        <v>204</v>
      </c>
      <c r="D26" s="113">
        <v>32036.3</v>
      </c>
      <c r="E26" s="114">
        <f t="shared" si="3"/>
        <v>2.8216981943890163E-2</v>
      </c>
      <c r="F26" s="213">
        <v>0</v>
      </c>
      <c r="G26" s="116">
        <f t="shared" si="0"/>
        <v>0</v>
      </c>
      <c r="H26" s="115">
        <f t="shared" si="4"/>
        <v>0</v>
      </c>
    </row>
    <row r="27" spans="1:8" s="1" customFormat="1" ht="15.75" x14ac:dyDescent="0.25">
      <c r="A27" s="234" t="s">
        <v>81</v>
      </c>
      <c r="B27" s="233"/>
      <c r="C27" s="118"/>
      <c r="D27" s="119">
        <f>SUM(D12:D26)</f>
        <v>1135355.3</v>
      </c>
      <c r="E27" s="120">
        <f t="shared" si="3"/>
        <v>1</v>
      </c>
      <c r="F27" s="204">
        <f>SUM(F12:F26)</f>
        <v>647348.32000000007</v>
      </c>
      <c r="G27" s="121">
        <f>F27/D27</f>
        <v>0.57017245614654732</v>
      </c>
      <c r="H27" s="207">
        <f t="shared" si="4"/>
        <v>0.57017245614654732</v>
      </c>
    </row>
    <row r="28" spans="1:8" s="1" customFormat="1" x14ac:dyDescent="0.25">
      <c r="A28" s="235" t="s">
        <v>69</v>
      </c>
      <c r="B28" s="236" t="s">
        <v>43</v>
      </c>
      <c r="C28" s="197" t="s">
        <v>77</v>
      </c>
      <c r="D28" s="122">
        <v>118791.45</v>
      </c>
      <c r="E28" s="114">
        <f>D28/$D$29</f>
        <v>1</v>
      </c>
      <c r="F28" s="213">
        <v>5100</v>
      </c>
      <c r="G28" s="116">
        <f>F28/D28</f>
        <v>4.2932382759870345E-2</v>
      </c>
      <c r="H28" s="208">
        <f>F28/D29</f>
        <v>4.2932382759870345E-2</v>
      </c>
    </row>
    <row r="29" spans="1:8" s="37" customFormat="1" ht="15.75" x14ac:dyDescent="0.25">
      <c r="A29" s="117" t="s">
        <v>82</v>
      </c>
      <c r="B29" s="196"/>
      <c r="C29" s="118"/>
      <c r="D29" s="119">
        <f>SUM(D28:D28)</f>
        <v>118791.45</v>
      </c>
      <c r="E29" s="120">
        <f>D29/$D$29</f>
        <v>1</v>
      </c>
      <c r="F29" s="204">
        <f>SUM(F28:F28)</f>
        <v>5100</v>
      </c>
      <c r="G29" s="121">
        <f>F29/D29</f>
        <v>4.2932382759870345E-2</v>
      </c>
      <c r="H29" s="207">
        <f>F29/D29</f>
        <v>4.2932382759870345E-2</v>
      </c>
    </row>
    <row r="30" spans="1:8" x14ac:dyDescent="0.25">
      <c r="A30" s="123"/>
      <c r="B30" s="124"/>
      <c r="C30" s="124"/>
      <c r="D30" s="124"/>
      <c r="E30" s="124"/>
      <c r="F30" s="205"/>
      <c r="G30" s="124"/>
      <c r="H30" s="125"/>
    </row>
    <row r="31" spans="1:8" ht="16.5" thickBot="1" x14ac:dyDescent="0.3">
      <c r="A31" s="126" t="s">
        <v>83</v>
      </c>
      <c r="B31" s="127"/>
      <c r="C31" s="128"/>
      <c r="D31" s="129">
        <f>D27+D29</f>
        <v>1254146.75</v>
      </c>
      <c r="E31" s="130">
        <f>D31/$D$31</f>
        <v>1</v>
      </c>
      <c r="F31" s="206">
        <f>F27+F29</f>
        <v>652448.32000000007</v>
      </c>
      <c r="G31" s="131">
        <f>F31/D31</f>
        <v>0.52023283559120981</v>
      </c>
      <c r="H31" s="132">
        <f>F31/D31</f>
        <v>0.52023283559120981</v>
      </c>
    </row>
    <row r="32" spans="1:8" x14ac:dyDescent="0.25">
      <c r="A32" t="s">
        <v>119</v>
      </c>
    </row>
  </sheetData>
  <autoFilter ref="A11:H29"/>
  <mergeCells count="5">
    <mergeCell ref="A6:H6"/>
    <mergeCell ref="A7:H7"/>
    <mergeCell ref="A8:H8"/>
    <mergeCell ref="A9:H9"/>
    <mergeCell ref="A10:G10"/>
  </mergeCells>
  <pageMargins left="0.51181102362204722" right="0.51181102362204722" top="0.59055118110236227" bottom="0.59055118110236227" header="0.31496062992125984" footer="0.31496062992125984"/>
  <pageSetup paperSize="9" scale="69" orientation="landscape" r:id="rId1"/>
  <ignoredErrors>
    <ignoredError sqref="G2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5"/>
  <sheetViews>
    <sheetView showGridLines="0" view="pageBreakPreview" topLeftCell="A10" zoomScaleSheetLayoutView="100" workbookViewId="0">
      <selection activeCell="I23" sqref="I23"/>
    </sheetView>
  </sheetViews>
  <sheetFormatPr defaultRowHeight="15" x14ac:dyDescent="0.25"/>
  <cols>
    <col min="1" max="1" width="10.85546875" style="74" bestFit="1" customWidth="1"/>
    <col min="2" max="2" width="13.7109375" style="74" bestFit="1" customWidth="1"/>
    <col min="3" max="13" width="11.42578125" style="74" customWidth="1"/>
    <col min="14" max="14" width="17.140625" style="74" customWidth="1"/>
    <col min="15" max="16384" width="9.140625" style="74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62" t="str">
        <f>'Dem Fontes e Usos'!A6:G6</f>
        <v>Relatório Mensal – Exercício 2017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</row>
    <row r="7" spans="1:14" s="79" customFormat="1" ht="21" customHeight="1" x14ac:dyDescent="0.35">
      <c r="A7" s="366" t="str">
        <f>'Dem Fontes e Usos'!A7:G7</f>
        <v>RESPONSÁVEL PELA ELABORAÇÃO:  José Rodrigo Lopes - Gerente Administrativo e Financeiro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s="79" customFormat="1" ht="21" customHeight="1" x14ac:dyDescent="0.35">
      <c r="A8" s="366" t="str">
        <f>'Dem Fontes e Usos'!A8:G8</f>
        <v>DATA DE ELABORAÇÃO:  14-09-2017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s="79" customFormat="1" ht="21" x14ac:dyDescent="0.35">
      <c r="A9" s="366" t="str">
        <f>'Dem Fontes e Usos'!A9:G9</f>
        <v xml:space="preserve">Período: Jan-Ago-2017 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s="79" customFormat="1" ht="21.75" customHeight="1" thickBot="1" x14ac:dyDescent="0.4">
      <c r="A10" s="342" t="s">
        <v>126</v>
      </c>
      <c r="B10" s="342"/>
      <c r="C10" s="342"/>
      <c r="D10" s="342"/>
      <c r="E10" s="342"/>
      <c r="F10" s="342"/>
      <c r="G10" s="342"/>
      <c r="H10" s="144"/>
      <c r="I10" s="342"/>
      <c r="J10" s="342"/>
      <c r="K10" s="342"/>
      <c r="L10" s="342"/>
      <c r="M10" s="342"/>
      <c r="N10" s="342"/>
    </row>
    <row r="11" spans="1:14" ht="31.5" customHeight="1" thickBot="1" x14ac:dyDescent="0.3">
      <c r="A11" s="367" t="s">
        <v>166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9"/>
    </row>
    <row r="12" spans="1:14" ht="31.5" customHeight="1" thickBot="1" x14ac:dyDescent="0.3">
      <c r="A12" s="283" t="s">
        <v>111</v>
      </c>
      <c r="B12" s="284" t="s">
        <v>104</v>
      </c>
      <c r="C12" s="284" t="s">
        <v>105</v>
      </c>
      <c r="D12" s="284" t="s">
        <v>106</v>
      </c>
      <c r="E12" s="284" t="s">
        <v>107</v>
      </c>
      <c r="F12" s="284" t="s">
        <v>108</v>
      </c>
      <c r="G12" s="284" t="s">
        <v>109</v>
      </c>
      <c r="H12" s="284" t="s">
        <v>110</v>
      </c>
      <c r="I12" s="284" t="s">
        <v>112</v>
      </c>
      <c r="J12" s="284" t="s">
        <v>113</v>
      </c>
      <c r="K12" s="284" t="s">
        <v>114</v>
      </c>
      <c r="L12" s="284" t="s">
        <v>115</v>
      </c>
      <c r="M12" s="284" t="s">
        <v>116</v>
      </c>
      <c r="N12" s="301" t="s">
        <v>11</v>
      </c>
    </row>
    <row r="13" spans="1:14" ht="31.5" customHeight="1" thickBot="1" x14ac:dyDescent="0.3">
      <c r="A13" s="295">
        <v>2014</v>
      </c>
      <c r="B13" s="298">
        <v>102540.39</v>
      </c>
      <c r="C13" s="299">
        <v>157602.09</v>
      </c>
      <c r="D13" s="299">
        <v>66469.36</v>
      </c>
      <c r="E13" s="299">
        <v>85967.12</v>
      </c>
      <c r="F13" s="299">
        <v>120916.08</v>
      </c>
      <c r="G13" s="299">
        <v>73971.38</v>
      </c>
      <c r="H13" s="299">
        <v>84775.11</v>
      </c>
      <c r="I13" s="299">
        <v>110286</v>
      </c>
      <c r="J13" s="299">
        <v>65652.98</v>
      </c>
      <c r="K13" s="299">
        <v>121800.08</v>
      </c>
      <c r="L13" s="299">
        <v>49853.61</v>
      </c>
      <c r="M13" s="300">
        <v>102483.68</v>
      </c>
      <c r="N13" s="302">
        <f>SUM(B13:M13)</f>
        <v>1142317.8799999999</v>
      </c>
    </row>
    <row r="14" spans="1:14" ht="31.5" customHeight="1" thickBot="1" x14ac:dyDescent="0.3">
      <c r="A14" s="295">
        <v>2015</v>
      </c>
      <c r="B14" s="297">
        <v>115645.97</v>
      </c>
      <c r="C14" s="140">
        <v>159671.28</v>
      </c>
      <c r="D14" s="140">
        <v>101851.21</v>
      </c>
      <c r="E14" s="140">
        <v>91442.12</v>
      </c>
      <c r="F14" s="140">
        <v>93753.14</v>
      </c>
      <c r="G14" s="140">
        <v>83782.45</v>
      </c>
      <c r="H14" s="140">
        <v>85388.82</v>
      </c>
      <c r="I14" s="140">
        <v>63805.98</v>
      </c>
      <c r="J14" s="140">
        <v>67896.72</v>
      </c>
      <c r="K14" s="140">
        <v>64399.97</v>
      </c>
      <c r="L14" s="140">
        <v>51283.97</v>
      </c>
      <c r="M14" s="141">
        <v>53127.519999999997</v>
      </c>
      <c r="N14" s="303">
        <f>SUM(B14:M14)</f>
        <v>1032049.1499999999</v>
      </c>
    </row>
    <row r="15" spans="1:14" ht="28.5" customHeight="1" thickBot="1" x14ac:dyDescent="0.3">
      <c r="A15" s="295">
        <v>2016</v>
      </c>
      <c r="B15" s="290">
        <v>95810.240000000005</v>
      </c>
      <c r="C15" s="277">
        <v>132769.26</v>
      </c>
      <c r="D15" s="277">
        <v>93104.24</v>
      </c>
      <c r="E15" s="277">
        <v>85829.01</v>
      </c>
      <c r="F15" s="277">
        <v>81155.570000000007</v>
      </c>
      <c r="G15" s="277">
        <v>89337.59</v>
      </c>
      <c r="H15" s="277">
        <v>60562.13</v>
      </c>
      <c r="I15" s="277">
        <v>73191.360000000001</v>
      </c>
      <c r="J15" s="277">
        <v>118134.86</v>
      </c>
      <c r="K15" s="277">
        <v>68261.34</v>
      </c>
      <c r="L15" s="296">
        <v>68325.509999999995</v>
      </c>
      <c r="M15" s="280">
        <f>83094.18</f>
        <v>83094.179999999993</v>
      </c>
      <c r="N15" s="302">
        <f>SUM(B15:M15)</f>
        <v>1049575.29</v>
      </c>
    </row>
    <row r="16" spans="1:14" ht="28.5" customHeight="1" thickBot="1" x14ac:dyDescent="0.3">
      <c r="A16" s="295" t="s">
        <v>203</v>
      </c>
      <c r="B16" s="297">
        <v>117209.37</v>
      </c>
      <c r="C16" s="140">
        <v>171257.91</v>
      </c>
      <c r="D16" s="140">
        <v>92107.199999999997</v>
      </c>
      <c r="E16" s="140">
        <v>81870.7</v>
      </c>
      <c r="F16" s="140">
        <v>126701.56</v>
      </c>
      <c r="G16" s="140">
        <v>103984.8</v>
      </c>
      <c r="H16" s="140">
        <v>64170.58</v>
      </c>
      <c r="I16" s="140">
        <f>74499.9+6859.58</f>
        <v>81359.48</v>
      </c>
      <c r="J16" s="140">
        <v>0</v>
      </c>
      <c r="K16" s="140">
        <v>0</v>
      </c>
      <c r="L16" s="140">
        <v>0</v>
      </c>
      <c r="M16" s="140">
        <v>0</v>
      </c>
      <c r="N16" s="303">
        <f>SUM(B16:M16)</f>
        <v>838661.6</v>
      </c>
    </row>
    <row r="17" spans="1:14" ht="15.75" thickBo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31.5" customHeight="1" thickBot="1" x14ac:dyDescent="0.3">
      <c r="A18" s="367" t="s">
        <v>167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9"/>
    </row>
    <row r="19" spans="1:14" ht="31.5" customHeight="1" thickBot="1" x14ac:dyDescent="0.3">
      <c r="A19" s="283" t="s">
        <v>111</v>
      </c>
      <c r="B19" s="284" t="s">
        <v>104</v>
      </c>
      <c r="C19" s="284" t="s">
        <v>105</v>
      </c>
      <c r="D19" s="284" t="s">
        <v>106</v>
      </c>
      <c r="E19" s="284" t="s">
        <v>107</v>
      </c>
      <c r="F19" s="284" t="s">
        <v>108</v>
      </c>
      <c r="G19" s="284" t="s">
        <v>109</v>
      </c>
      <c r="H19" s="284" t="s">
        <v>110</v>
      </c>
      <c r="I19" s="284" t="s">
        <v>112</v>
      </c>
      <c r="J19" s="284" t="s">
        <v>113</v>
      </c>
      <c r="K19" s="284" t="s">
        <v>114</v>
      </c>
      <c r="L19" s="284" t="s">
        <v>115</v>
      </c>
      <c r="M19" s="284" t="s">
        <v>116</v>
      </c>
      <c r="N19" s="301" t="s">
        <v>11</v>
      </c>
    </row>
    <row r="20" spans="1:14" ht="31.5" customHeight="1" thickBot="1" x14ac:dyDescent="0.3">
      <c r="A20" s="295">
        <v>2014</v>
      </c>
      <c r="B20" s="298">
        <v>102540.39</v>
      </c>
      <c r="C20" s="299">
        <f>157602.09-10075.22</f>
        <v>147526.87</v>
      </c>
      <c r="D20" s="299">
        <v>66469.36</v>
      </c>
      <c r="E20" s="299">
        <f>85967.12-10075.22</f>
        <v>75891.899999999994</v>
      </c>
      <c r="F20" s="299">
        <f>120916.08-36978.81</f>
        <v>83937.27</v>
      </c>
      <c r="G20" s="299">
        <v>73971.38</v>
      </c>
      <c r="H20" s="299">
        <f>84775.11-19043.08</f>
        <v>65732.03</v>
      </c>
      <c r="I20" s="299">
        <f>110286-38086.16</f>
        <v>72199.839999999997</v>
      </c>
      <c r="J20" s="299">
        <v>65652.98</v>
      </c>
      <c r="K20" s="299">
        <f>121800.08-57129.24</f>
        <v>64670.840000000004</v>
      </c>
      <c r="L20" s="299">
        <v>49853.61</v>
      </c>
      <c r="M20" s="299">
        <f>102483.68-38086.16</f>
        <v>64397.51999999999</v>
      </c>
      <c r="N20" s="302">
        <f>SUM(B20:M20)</f>
        <v>932843.99</v>
      </c>
    </row>
    <row r="21" spans="1:14" ht="31.5" customHeight="1" thickBot="1" x14ac:dyDescent="0.3">
      <c r="A21" s="295">
        <v>2015</v>
      </c>
      <c r="B21" s="297">
        <v>115645.97</v>
      </c>
      <c r="C21" s="140">
        <f>159671.28-250.11</f>
        <v>159421.17000000001</v>
      </c>
      <c r="D21" s="140">
        <v>101851.21</v>
      </c>
      <c r="E21" s="140">
        <v>91442.12</v>
      </c>
      <c r="F21" s="140">
        <v>93753.14</v>
      </c>
      <c r="G21" s="140">
        <v>83782.45</v>
      </c>
      <c r="H21" s="140">
        <v>85388.82</v>
      </c>
      <c r="I21" s="140">
        <v>63805.98</v>
      </c>
      <c r="J21" s="140">
        <v>67896.72</v>
      </c>
      <c r="K21" s="140">
        <v>64399.97</v>
      </c>
      <c r="L21" s="140">
        <v>51283.97</v>
      </c>
      <c r="M21" s="140">
        <v>53127.519999999997</v>
      </c>
      <c r="N21" s="303">
        <f>SUM(B21:M21)</f>
        <v>1031799.0399999998</v>
      </c>
    </row>
    <row r="22" spans="1:14" ht="28.5" customHeight="1" thickBot="1" x14ac:dyDescent="0.3">
      <c r="A22" s="295">
        <v>2016</v>
      </c>
      <c r="B22" s="290">
        <v>95810.240000000005</v>
      </c>
      <c r="C22" s="277">
        <v>132769.26</v>
      </c>
      <c r="D22" s="277">
        <v>93104.24</v>
      </c>
      <c r="E22" s="277">
        <v>85829.01</v>
      </c>
      <c r="F22" s="277">
        <v>81155.570000000007</v>
      </c>
      <c r="G22" s="277">
        <v>89337.59</v>
      </c>
      <c r="H22" s="277">
        <v>60562.13</v>
      </c>
      <c r="I22" s="277">
        <f>73191.36-3879.26</f>
        <v>69312.100000000006</v>
      </c>
      <c r="J22" s="277">
        <f>118134.86-49930.67</f>
        <v>68204.19</v>
      </c>
      <c r="K22" s="277">
        <f>68261.34-6241.33</f>
        <v>62020.009999999995</v>
      </c>
      <c r="L22" s="296">
        <f>68325.51-6241.33</f>
        <v>62084.179999999993</v>
      </c>
      <c r="M22" s="280">
        <f>83094.18-6241.33-6241.37</f>
        <v>70611.48</v>
      </c>
      <c r="N22" s="302">
        <f>SUM(B22:M22)</f>
        <v>970800</v>
      </c>
    </row>
    <row r="23" spans="1:14" ht="28.5" customHeight="1" thickBot="1" x14ac:dyDescent="0.3">
      <c r="A23" s="295" t="s">
        <v>203</v>
      </c>
      <c r="B23" s="289">
        <f>117209.37-6859.58</f>
        <v>110349.79</v>
      </c>
      <c r="C23" s="133">
        <f>171257.91-6859.58</f>
        <v>164398.33000000002</v>
      </c>
      <c r="D23" s="133">
        <v>92107.199999999997</v>
      </c>
      <c r="E23" s="133">
        <v>81870.7</v>
      </c>
      <c r="F23" s="133">
        <v>112982.39999999999</v>
      </c>
      <c r="G23" s="133">
        <v>97125.22</v>
      </c>
      <c r="H23" s="133">
        <f>64170.58-6859.58</f>
        <v>57311</v>
      </c>
      <c r="I23" s="133">
        <v>74499.899999999994</v>
      </c>
      <c r="J23" s="133">
        <v>0</v>
      </c>
      <c r="K23" s="133">
        <v>0</v>
      </c>
      <c r="L23" s="133">
        <v>0</v>
      </c>
      <c r="M23" s="133">
        <v>0</v>
      </c>
      <c r="N23" s="303">
        <f>SUM(B23:M23)</f>
        <v>790644.54</v>
      </c>
    </row>
    <row r="25" spans="1:14" x14ac:dyDescent="0.25">
      <c r="K25" s="71"/>
      <c r="L25" s="71"/>
      <c r="M25" s="71"/>
    </row>
  </sheetData>
  <mergeCells count="8">
    <mergeCell ref="A6:N6"/>
    <mergeCell ref="A11:N11"/>
    <mergeCell ref="A18:N18"/>
    <mergeCell ref="A7:N7"/>
    <mergeCell ref="A8:N8"/>
    <mergeCell ref="A9:N9"/>
    <mergeCell ref="A10:G10"/>
    <mergeCell ref="I10:N1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7"/>
  <sheetViews>
    <sheetView showGridLines="0" view="pageBreakPreview" topLeftCell="A8" zoomScaleSheetLayoutView="100" workbookViewId="0">
      <selection activeCell="J23" sqref="J23"/>
    </sheetView>
  </sheetViews>
  <sheetFormatPr defaultRowHeight="15" x14ac:dyDescent="0.25"/>
  <cols>
    <col min="1" max="1" width="10.85546875" style="70" bestFit="1" customWidth="1"/>
    <col min="2" max="5" width="11.42578125" style="70" customWidth="1"/>
    <col min="6" max="6" width="12.85546875" style="70" bestFit="1" customWidth="1"/>
    <col min="7" max="13" width="11.42578125" style="70" customWidth="1"/>
    <col min="14" max="14" width="17.140625" style="70" customWidth="1"/>
    <col min="15" max="16384" width="9.140625" style="70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62" t="str">
        <f>'Dem Fontes e Usos'!A6:G6</f>
        <v>Relatório Mensal – Exercício 2017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</row>
    <row r="7" spans="1:14" s="79" customFormat="1" ht="21" x14ac:dyDescent="0.35">
      <c r="A7" s="366" t="str">
        <f>'Dem Fontes e Usos'!A7:G7</f>
        <v>RESPONSÁVEL PELA ELABORAÇÃO:  José Rodrigo Lopes - Gerente Administrativo e Financeiro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s="79" customFormat="1" ht="21" x14ac:dyDescent="0.35">
      <c r="A8" s="366" t="str">
        <f>'Dem Fontes e Usos'!A8:G8</f>
        <v>DATA DE ELABORAÇÃO:  14-09-2017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s="79" customFormat="1" ht="21" customHeight="1" x14ac:dyDescent="0.35">
      <c r="A9" s="366" t="str">
        <f>'Dem Fontes e Usos'!A9:G9</f>
        <v xml:space="preserve">Período: Jan-Ago-2017 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s="79" customFormat="1" ht="21.75" customHeight="1" thickBot="1" x14ac:dyDescent="0.4">
      <c r="A10" s="342" t="s">
        <v>124</v>
      </c>
      <c r="B10" s="342"/>
      <c r="C10" s="342"/>
      <c r="D10" s="342"/>
      <c r="E10" s="342"/>
      <c r="F10" s="342"/>
      <c r="G10" s="342"/>
      <c r="H10" s="144"/>
      <c r="I10" s="342"/>
      <c r="J10" s="342"/>
      <c r="K10" s="342"/>
      <c r="L10" s="342"/>
      <c r="M10" s="342"/>
      <c r="N10" s="342"/>
    </row>
    <row r="11" spans="1:14" ht="31.5" customHeight="1" thickBot="1" x14ac:dyDescent="0.3">
      <c r="A11" s="367" t="s">
        <v>162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9"/>
    </row>
    <row r="12" spans="1:14" ht="31.5" customHeight="1" thickBot="1" x14ac:dyDescent="0.3">
      <c r="A12" s="283" t="s">
        <v>111</v>
      </c>
      <c r="B12" s="284" t="s">
        <v>104</v>
      </c>
      <c r="C12" s="284" t="s">
        <v>105</v>
      </c>
      <c r="D12" s="284" t="s">
        <v>106</v>
      </c>
      <c r="E12" s="284" t="s">
        <v>107</v>
      </c>
      <c r="F12" s="284" t="s">
        <v>108</v>
      </c>
      <c r="G12" s="284" t="s">
        <v>109</v>
      </c>
      <c r="H12" s="284" t="s">
        <v>110</v>
      </c>
      <c r="I12" s="284" t="s">
        <v>112</v>
      </c>
      <c r="J12" s="284" t="s">
        <v>113</v>
      </c>
      <c r="K12" s="284" t="s">
        <v>114</v>
      </c>
      <c r="L12" s="284" t="s">
        <v>115</v>
      </c>
      <c r="M12" s="284" t="s">
        <v>116</v>
      </c>
      <c r="N12" s="285" t="s">
        <v>11</v>
      </c>
    </row>
    <row r="13" spans="1:14" ht="31.5" customHeight="1" thickBot="1" x14ac:dyDescent="0.3">
      <c r="A13" s="295">
        <v>2014</v>
      </c>
      <c r="B13" s="288">
        <v>32735.52</v>
      </c>
      <c r="C13" s="281">
        <v>83858.740000000005</v>
      </c>
      <c r="D13" s="281">
        <v>56915.93</v>
      </c>
      <c r="E13" s="281">
        <v>63829.45</v>
      </c>
      <c r="F13" s="281">
        <v>96129.68</v>
      </c>
      <c r="G13" s="281">
        <v>53808.21</v>
      </c>
      <c r="H13" s="281">
        <v>52806.17</v>
      </c>
      <c r="I13" s="281">
        <v>65116.83</v>
      </c>
      <c r="J13" s="281">
        <v>62187.4</v>
      </c>
      <c r="K13" s="281">
        <v>581538.56000000006</v>
      </c>
      <c r="L13" s="281">
        <v>75257.73</v>
      </c>
      <c r="M13" s="282">
        <v>81993.33</v>
      </c>
      <c r="N13" s="286">
        <f>SUM(B13:M13)</f>
        <v>1306177.5500000003</v>
      </c>
    </row>
    <row r="14" spans="1:14" ht="31.5" customHeight="1" thickBot="1" x14ac:dyDescent="0.3">
      <c r="A14" s="295">
        <v>2015</v>
      </c>
      <c r="B14" s="289">
        <v>31979.34</v>
      </c>
      <c r="C14" s="133">
        <v>71601.05</v>
      </c>
      <c r="D14" s="133">
        <v>72418.33</v>
      </c>
      <c r="E14" s="133">
        <v>61569.82</v>
      </c>
      <c r="F14" s="133">
        <v>68698.52</v>
      </c>
      <c r="G14" s="133">
        <v>69689.14</v>
      </c>
      <c r="H14" s="133">
        <v>70245.13</v>
      </c>
      <c r="I14" s="133">
        <v>82776.009999999995</v>
      </c>
      <c r="J14" s="133">
        <v>81743.75</v>
      </c>
      <c r="K14" s="133">
        <v>65534.35</v>
      </c>
      <c r="L14" s="133">
        <v>101076.71</v>
      </c>
      <c r="M14" s="279">
        <v>180517.37</v>
      </c>
      <c r="N14" s="287">
        <f>SUM(B14:M14)</f>
        <v>957849.5199999999</v>
      </c>
    </row>
    <row r="15" spans="1:14" ht="28.5" customHeight="1" thickBot="1" x14ac:dyDescent="0.3">
      <c r="A15" s="295">
        <v>2016</v>
      </c>
      <c r="B15" s="291">
        <v>59428.71</v>
      </c>
      <c r="C15" s="72">
        <v>116089.8</v>
      </c>
      <c r="D15" s="72">
        <v>84396.03</v>
      </c>
      <c r="E15" s="72">
        <v>105828.97</v>
      </c>
      <c r="F15" s="72">
        <v>135107.85999999999</v>
      </c>
      <c r="G15" s="72">
        <v>127064.79</v>
      </c>
      <c r="H15" s="72">
        <v>146545.87</v>
      </c>
      <c r="I15" s="72">
        <v>131238.82</v>
      </c>
      <c r="J15" s="72">
        <v>71176.639999999999</v>
      </c>
      <c r="K15" s="72">
        <v>71650.240000000005</v>
      </c>
      <c r="L15" s="72">
        <v>81314.240000000005</v>
      </c>
      <c r="M15" s="278">
        <v>141843.25</v>
      </c>
      <c r="N15" s="286">
        <f>SUM(B15:M15)</f>
        <v>1271685.2200000002</v>
      </c>
    </row>
    <row r="16" spans="1:14" s="74" customFormat="1" ht="28.5" customHeight="1" thickBot="1" x14ac:dyDescent="0.3">
      <c r="A16" s="295" t="s">
        <v>203</v>
      </c>
      <c r="B16" s="289">
        <v>63635.839999999997</v>
      </c>
      <c r="C16" s="133">
        <v>59866.41</v>
      </c>
      <c r="D16" s="133">
        <v>106324.73</v>
      </c>
      <c r="E16" s="133">
        <v>78234.490000000005</v>
      </c>
      <c r="F16" s="133">
        <v>85920.89</v>
      </c>
      <c r="G16" s="133">
        <v>80731.3</v>
      </c>
      <c r="H16" s="133">
        <v>84261.4</v>
      </c>
      <c r="I16" s="133">
        <v>93248.36</v>
      </c>
      <c r="J16" s="133">
        <v>0</v>
      </c>
      <c r="K16" s="133">
        <v>0</v>
      </c>
      <c r="L16" s="133">
        <v>0</v>
      </c>
      <c r="M16" s="279">
        <v>0</v>
      </c>
      <c r="N16" s="287">
        <f>SUM(B16:M16)</f>
        <v>652223.41999999993</v>
      </c>
    </row>
    <row r="17" spans="1:14" ht="15.75" thickBo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31.5" customHeight="1" thickBot="1" x14ac:dyDescent="0.3">
      <c r="A18" s="367" t="s">
        <v>165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9"/>
    </row>
    <row r="19" spans="1:14" ht="31.5" customHeight="1" thickBot="1" x14ac:dyDescent="0.3">
      <c r="A19" s="292" t="s">
        <v>111</v>
      </c>
      <c r="B19" s="293" t="s">
        <v>104</v>
      </c>
      <c r="C19" s="293" t="s">
        <v>105</v>
      </c>
      <c r="D19" s="293" t="s">
        <v>106</v>
      </c>
      <c r="E19" s="293" t="s">
        <v>107</v>
      </c>
      <c r="F19" s="293" t="s">
        <v>108</v>
      </c>
      <c r="G19" s="293" t="s">
        <v>109</v>
      </c>
      <c r="H19" s="293" t="s">
        <v>110</v>
      </c>
      <c r="I19" s="293" t="s">
        <v>112</v>
      </c>
      <c r="J19" s="293" t="s">
        <v>113</v>
      </c>
      <c r="K19" s="293" t="s">
        <v>114</v>
      </c>
      <c r="L19" s="293" t="s">
        <v>115</v>
      </c>
      <c r="M19" s="293" t="s">
        <v>116</v>
      </c>
      <c r="N19" s="294" t="s">
        <v>11</v>
      </c>
    </row>
    <row r="20" spans="1:14" ht="31.5" customHeight="1" thickBot="1" x14ac:dyDescent="0.3">
      <c r="A20" s="295">
        <v>2014</v>
      </c>
      <c r="B20" s="288">
        <v>32735.52</v>
      </c>
      <c r="C20" s="281">
        <f>83858.74-4098</f>
        <v>79760.740000000005</v>
      </c>
      <c r="D20" s="281">
        <v>56915.93</v>
      </c>
      <c r="E20" s="281">
        <f>63829.45-7895</f>
        <v>55934.45</v>
      </c>
      <c r="F20" s="281">
        <v>96129.68</v>
      </c>
      <c r="G20" s="281">
        <v>53808.21</v>
      </c>
      <c r="H20" s="281">
        <v>52806.17</v>
      </c>
      <c r="I20" s="281">
        <v>65116.83</v>
      </c>
      <c r="J20" s="281">
        <v>62187.4</v>
      </c>
      <c r="K20" s="281">
        <f>581538.56-520000</f>
        <v>61538.560000000056</v>
      </c>
      <c r="L20" s="281">
        <v>75257.73</v>
      </c>
      <c r="M20" s="282">
        <v>81993.33</v>
      </c>
      <c r="N20" s="286">
        <f>SUM(B20:M20)</f>
        <v>774184.55</v>
      </c>
    </row>
    <row r="21" spans="1:14" ht="31.5" customHeight="1" thickBot="1" x14ac:dyDescent="0.3">
      <c r="A21" s="295">
        <v>2015</v>
      </c>
      <c r="B21" s="289">
        <v>31979.34</v>
      </c>
      <c r="C21" s="133">
        <v>71601.05</v>
      </c>
      <c r="D21" s="133">
        <v>72418.33</v>
      </c>
      <c r="E21" s="133">
        <v>61569.82</v>
      </c>
      <c r="F21" s="133">
        <v>68698.52</v>
      </c>
      <c r="G21" s="133">
        <v>69689.14</v>
      </c>
      <c r="H21" s="133">
        <v>70245.13</v>
      </c>
      <c r="I21" s="133">
        <v>82776.009999999995</v>
      </c>
      <c r="J21" s="133">
        <v>81743.75</v>
      </c>
      <c r="K21" s="133">
        <v>65534.35</v>
      </c>
      <c r="L21" s="133">
        <v>101076.71</v>
      </c>
      <c r="M21" s="279">
        <v>180517.37</v>
      </c>
      <c r="N21" s="287">
        <f>SUM(B21:M21)</f>
        <v>957849.5199999999</v>
      </c>
    </row>
    <row r="22" spans="1:14" ht="28.5" customHeight="1" thickBot="1" x14ac:dyDescent="0.3">
      <c r="A22" s="295">
        <v>2016</v>
      </c>
      <c r="B22" s="290">
        <v>59428.71</v>
      </c>
      <c r="C22" s="277">
        <f>116089.8-28574.35</f>
        <v>87515.450000000012</v>
      </c>
      <c r="D22" s="277">
        <v>84396.03</v>
      </c>
      <c r="E22" s="277">
        <f>105828.97-24062.66</f>
        <v>81766.31</v>
      </c>
      <c r="F22" s="277">
        <f>135107.86-47178.86</f>
        <v>87928.999999999985</v>
      </c>
      <c r="G22" s="277">
        <f>127064.79-48394.74</f>
        <v>78670.049999999988</v>
      </c>
      <c r="H22" s="277">
        <f>146545.87-75380.51</f>
        <v>71165.36</v>
      </c>
      <c r="I22" s="277">
        <v>77502.880000000005</v>
      </c>
      <c r="J22" s="277">
        <v>71176.639999999999</v>
      </c>
      <c r="K22" s="277">
        <v>71650.240000000005</v>
      </c>
      <c r="L22" s="277">
        <f>81314.24-7540</f>
        <v>73774.240000000005</v>
      </c>
      <c r="M22" s="280">
        <v>141843.25</v>
      </c>
      <c r="N22" s="286">
        <f>SUM(B22:M22)</f>
        <v>986818.16</v>
      </c>
    </row>
    <row r="23" spans="1:14" s="74" customFormat="1" ht="28.5" customHeight="1" thickBot="1" x14ac:dyDescent="0.3">
      <c r="A23" s="295" t="s">
        <v>203</v>
      </c>
      <c r="B23" s="289">
        <v>63635.839999999997</v>
      </c>
      <c r="C23" s="133">
        <v>59866.41</v>
      </c>
      <c r="D23" s="133">
        <v>106324.73</v>
      </c>
      <c r="E23" s="133">
        <v>74534.490000000005</v>
      </c>
      <c r="F23" s="133">
        <v>84520.89</v>
      </c>
      <c r="G23" s="133">
        <v>80731.3</v>
      </c>
      <c r="H23" s="133">
        <v>84261.4</v>
      </c>
      <c r="I23" s="133">
        <v>93248.36</v>
      </c>
      <c r="J23" s="133">
        <v>0</v>
      </c>
      <c r="K23" s="133">
        <v>0</v>
      </c>
      <c r="L23" s="133">
        <v>0</v>
      </c>
      <c r="M23" s="279">
        <v>0</v>
      </c>
      <c r="N23" s="287">
        <f>SUM(B23:M23)</f>
        <v>647123.41999999993</v>
      </c>
    </row>
    <row r="24" spans="1:14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x14ac:dyDescent="0.25">
      <c r="A25" s="142"/>
      <c r="B25" s="142"/>
      <c r="C25" s="142"/>
      <c r="D25" s="143"/>
      <c r="E25" s="142"/>
      <c r="F25" s="142"/>
      <c r="G25" s="142"/>
      <c r="H25" s="143"/>
      <c r="I25" s="143"/>
      <c r="J25" s="142"/>
      <c r="K25" s="143"/>
      <c r="L25" s="143"/>
      <c r="M25" s="143"/>
      <c r="N25" s="142"/>
    </row>
    <row r="26" spans="1:14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</sheetData>
  <mergeCells count="8">
    <mergeCell ref="A18:N18"/>
    <mergeCell ref="A11:N11"/>
    <mergeCell ref="A6:N6"/>
    <mergeCell ref="A7:N7"/>
    <mergeCell ref="A8:N8"/>
    <mergeCell ref="A9:N9"/>
    <mergeCell ref="A10:G10"/>
    <mergeCell ref="I10:N10"/>
  </mergeCells>
  <pageMargins left="0.11811023622047245" right="0.11811023622047245" top="0.78740157480314965" bottom="0.78740157480314965" header="0.31496062992125984" footer="0.31496062992125984"/>
  <pageSetup paperSize="9" scale="82" orientation="landscape" r:id="rId1"/>
  <colBreaks count="1" manualBreakCount="1">
    <brk id="1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showGridLines="0" tabSelected="1" view="pageBreakPreview" zoomScaleSheetLayoutView="100" workbookViewId="0">
      <selection activeCell="A7" sqref="A7:H7"/>
    </sheetView>
  </sheetViews>
  <sheetFormatPr defaultRowHeight="15.75" x14ac:dyDescent="0.25"/>
  <cols>
    <col min="1" max="1" width="25.7109375" style="68" customWidth="1"/>
    <col min="2" max="4" width="13.28515625" style="69" customWidth="1"/>
    <col min="5" max="8" width="13.28515625" style="68" customWidth="1"/>
    <col min="9" max="10" width="9.140625" style="68"/>
    <col min="11" max="11" width="11.5703125" style="68" bestFit="1" customWidth="1"/>
    <col min="12" max="16384" width="9.140625" style="68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62" t="str">
        <f>'Dem Fontes e Usos'!A6:G6</f>
        <v>Relatório Mensal – Exercício 2017</v>
      </c>
      <c r="B6" s="340"/>
      <c r="C6" s="340"/>
      <c r="D6" s="340"/>
      <c r="E6" s="340"/>
      <c r="F6" s="340"/>
      <c r="G6" s="340"/>
      <c r="H6" s="340"/>
      <c r="I6" s="76"/>
      <c r="J6" s="76"/>
      <c r="K6" s="334"/>
      <c r="L6" s="76"/>
      <c r="M6" s="76"/>
      <c r="N6" s="76"/>
    </row>
    <row r="7" spans="1:14" s="79" customFormat="1" ht="21" x14ac:dyDescent="0.35">
      <c r="A7" s="366" t="str">
        <f>'Dem Fontes e Usos'!A7:G7</f>
        <v>RESPONSÁVEL PELA ELABORAÇÃO:  José Rodrigo Lopes - Gerente Administrativo e Financeiro</v>
      </c>
      <c r="B7" s="341"/>
      <c r="C7" s="341"/>
      <c r="D7" s="341"/>
      <c r="E7" s="341"/>
      <c r="F7" s="341"/>
      <c r="G7" s="341"/>
      <c r="H7" s="341"/>
      <c r="I7" s="76"/>
      <c r="J7" s="76"/>
      <c r="K7" s="76"/>
      <c r="L7" s="76"/>
      <c r="M7" s="76"/>
      <c r="N7" s="76"/>
    </row>
    <row r="8" spans="1:14" s="79" customFormat="1" ht="21" customHeight="1" x14ac:dyDescent="0.35">
      <c r="A8" s="366" t="str">
        <f>'Dem Fontes e Usos'!A8:G8</f>
        <v>DATA DE ELABORAÇÃO:  14-09-2017</v>
      </c>
      <c r="B8" s="341"/>
      <c r="C8" s="341"/>
      <c r="D8" s="341"/>
      <c r="E8" s="341"/>
      <c r="F8" s="341"/>
      <c r="G8" s="341"/>
      <c r="H8" s="341"/>
      <c r="I8" s="76"/>
      <c r="J8" s="76"/>
      <c r="K8" s="76"/>
      <c r="L8" s="76"/>
      <c r="M8" s="76"/>
      <c r="N8" s="76"/>
    </row>
    <row r="9" spans="1:14" s="79" customFormat="1" ht="21" customHeight="1" x14ac:dyDescent="0.35">
      <c r="A9" s="366" t="str">
        <f>'Dem Fontes e Usos'!A9:G9</f>
        <v xml:space="preserve">Período: Jan-Ago-2017 </v>
      </c>
      <c r="B9" s="341"/>
      <c r="C9" s="341"/>
      <c r="D9" s="341"/>
      <c r="E9" s="341"/>
      <c r="F9" s="341"/>
      <c r="G9" s="341"/>
      <c r="H9" s="341"/>
      <c r="I9" s="76"/>
      <c r="J9" s="76"/>
      <c r="K9" s="76"/>
      <c r="L9" s="76"/>
      <c r="M9" s="76"/>
      <c r="N9" s="76"/>
    </row>
    <row r="10" spans="1:14" s="79" customFormat="1" ht="21" customHeight="1" x14ac:dyDescent="0.35">
      <c r="A10" s="342" t="s">
        <v>125</v>
      </c>
      <c r="B10" s="342"/>
      <c r="C10" s="342"/>
      <c r="D10" s="342"/>
      <c r="E10" s="342"/>
      <c r="F10" s="342"/>
      <c r="G10" s="342"/>
      <c r="H10" s="342"/>
      <c r="I10" s="76"/>
      <c r="J10" s="76"/>
      <c r="K10" s="76"/>
      <c r="L10" s="76"/>
      <c r="M10" s="76"/>
      <c r="N10" s="76"/>
    </row>
    <row r="11" spans="1:14" ht="33" customHeight="1" x14ac:dyDescent="0.25">
      <c r="A11" s="134"/>
      <c r="B11" s="370" t="s">
        <v>240</v>
      </c>
      <c r="C11" s="370"/>
      <c r="D11" s="370" t="s">
        <v>239</v>
      </c>
      <c r="E11" s="370"/>
      <c r="F11" s="370" t="s">
        <v>97</v>
      </c>
      <c r="G11" s="370"/>
      <c r="H11" s="138" t="s">
        <v>103</v>
      </c>
    </row>
    <row r="12" spans="1:14" ht="28.5" customHeight="1" x14ac:dyDescent="0.25">
      <c r="A12" s="135" t="s">
        <v>121</v>
      </c>
      <c r="B12" s="371">
        <f>SUM('Receita Mês X Mês'!B15:I15)</f>
        <v>711759.4</v>
      </c>
      <c r="C12" s="371"/>
      <c r="D12" s="371">
        <f>SUM('Receita Mês X Mês'!B16:I16)</f>
        <v>838661.6</v>
      </c>
      <c r="E12" s="371"/>
      <c r="F12" s="373">
        <f>D12-B12</f>
        <v>126902.19999999995</v>
      </c>
      <c r="G12" s="373"/>
      <c r="H12" s="136">
        <f>D12/B12</f>
        <v>1.1782936762057514</v>
      </c>
    </row>
    <row r="13" spans="1:14" ht="28.5" customHeight="1" x14ac:dyDescent="0.25">
      <c r="A13" s="135" t="s">
        <v>122</v>
      </c>
      <c r="B13" s="371">
        <f>SUM('Despesas Mês X Mês'!B22:I22)</f>
        <v>628373.79</v>
      </c>
      <c r="C13" s="371"/>
      <c r="D13" s="371">
        <f>SUM('Despesas Mês X Mês'!B23:I23)</f>
        <v>647123.41999999993</v>
      </c>
      <c r="E13" s="371"/>
      <c r="F13" s="374">
        <f>D13-B13</f>
        <v>18749.629999999888</v>
      </c>
      <c r="G13" s="374"/>
      <c r="H13" s="136">
        <f>D13/B13</f>
        <v>1.0298383387378394</v>
      </c>
    </row>
    <row r="14" spans="1:14" ht="36" customHeight="1" x14ac:dyDescent="0.25">
      <c r="A14" s="138" t="s">
        <v>123</v>
      </c>
      <c r="B14" s="372">
        <f>B12-B13</f>
        <v>83385.609999999986</v>
      </c>
      <c r="C14" s="372"/>
      <c r="D14" s="372">
        <f>D12-D13</f>
        <v>191538.18000000005</v>
      </c>
      <c r="E14" s="372"/>
      <c r="F14" s="375">
        <f>D14-B14</f>
        <v>108152.57000000007</v>
      </c>
      <c r="G14" s="375"/>
      <c r="H14" s="137">
        <f>D14/B14</f>
        <v>2.2970171951731251</v>
      </c>
    </row>
  </sheetData>
  <mergeCells count="17">
    <mergeCell ref="A6:H6"/>
    <mergeCell ref="A7:H7"/>
    <mergeCell ref="A8:H8"/>
    <mergeCell ref="A9:H9"/>
    <mergeCell ref="A10:H10"/>
    <mergeCell ref="B11:C11"/>
    <mergeCell ref="B12:C12"/>
    <mergeCell ref="B13:C13"/>
    <mergeCell ref="B14:C14"/>
    <mergeCell ref="F12:G12"/>
    <mergeCell ref="F13:G13"/>
    <mergeCell ref="F14:G14"/>
    <mergeCell ref="D11:E11"/>
    <mergeCell ref="D12:E12"/>
    <mergeCell ref="D13:E13"/>
    <mergeCell ref="D14:E14"/>
    <mergeCell ref="F11:G1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7</vt:i4>
      </vt:variant>
    </vt:vector>
  </HeadingPairs>
  <TitlesOfParts>
    <vt:vector size="18" baseType="lpstr">
      <vt:lpstr>Capa</vt:lpstr>
      <vt:lpstr>Dem Fontes e Usos</vt:lpstr>
      <vt:lpstr>2. Exec Plano de Ação</vt:lpstr>
      <vt:lpstr>3. Exec Orçamentária</vt:lpstr>
      <vt:lpstr>AnoXAno</vt:lpstr>
      <vt:lpstr>Exec Orçamentária</vt:lpstr>
      <vt:lpstr>Receita Mês X Mês</vt:lpstr>
      <vt:lpstr>Despesas Mês X Mês</vt:lpstr>
      <vt:lpstr>Receita X Despesa</vt:lpstr>
      <vt:lpstr>Limites Estratéicos</vt:lpstr>
      <vt:lpstr>DESPESAS MENSAIS C. MOV.</vt:lpstr>
      <vt:lpstr>'Dem Fontes e Usos'!Area_de_impressao</vt:lpstr>
      <vt:lpstr>'DESPESAS MENSAIS C. MOV.'!Area_de_impressao</vt:lpstr>
      <vt:lpstr>'Despesas Mês X Mês'!Area_de_impressao</vt:lpstr>
      <vt:lpstr>'Exec Orçamentária'!Area_de_impressao</vt:lpstr>
      <vt:lpstr>'Limites Estratéicos'!Area_de_impressao</vt:lpstr>
      <vt:lpstr>'Receita Mês X Mês'!Area_de_impressao</vt:lpstr>
      <vt:lpstr>'Receita X Despesa'!Area_de_impressao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cau02</cp:lastModifiedBy>
  <cp:lastPrinted>2017-11-16T17:17:14Z</cp:lastPrinted>
  <dcterms:created xsi:type="dcterms:W3CDTF">2013-07-08T17:53:54Z</dcterms:created>
  <dcterms:modified xsi:type="dcterms:W3CDTF">2017-11-16T17:22:28Z</dcterms:modified>
</cp:coreProperties>
</file>