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20730" windowHeight="10515" tabRatio="860"/>
  </bookViews>
  <sheets>
    <sheet name="Capa" sheetId="14" r:id="rId1"/>
    <sheet name="Dem Fontes e Usos" sheetId="2" r:id="rId2"/>
    <sheet name="2. Exec Plano de Ação" sheetId="5" state="hidden" r:id="rId3"/>
    <sheet name="3. Exec Orçamentária" sheetId="1" state="hidden" r:id="rId4"/>
    <sheet name="AnoXAno" sheetId="12" r:id="rId5"/>
    <sheet name="Exec Orçamentária" sheetId="9" r:id="rId6"/>
    <sheet name="Receita Mês X Mês" sheetId="15" r:id="rId7"/>
    <sheet name="Despesas Mês X Mês" sheetId="13" r:id="rId8"/>
    <sheet name="Receita X Despesa" sheetId="10" r:id="rId9"/>
    <sheet name="Limites Estratéicos" sheetId="16" r:id="rId10"/>
  </sheets>
  <definedNames>
    <definedName name="_xlnm._FilterDatabase" localSheetId="3" hidden="1">'3. Exec Orçamentária'!$B$11:$M$33</definedName>
    <definedName name="_xlnm._FilterDatabase" localSheetId="5" hidden="1">'Exec Orçamentária'!$A$11:$H$29</definedName>
    <definedName name="_xlnm.Print_Area" localSheetId="1">'Dem Fontes e Usos'!$A$1:$G$40</definedName>
    <definedName name="_xlnm.Print_Area" localSheetId="7">'Despesas Mês X Mês'!$A$1:$N$23</definedName>
    <definedName name="_xlnm.Print_Area" localSheetId="5">'Exec Orçamentária'!$A$1:$H$32</definedName>
    <definedName name="_xlnm.Print_Area" localSheetId="9">'Limites Estratéicos'!$A$1:$M$33</definedName>
    <definedName name="_xlnm.Print_Area" localSheetId="6">'Receita Mês X Mês'!$A$1:$N$23</definedName>
    <definedName name="_xlnm.Print_Area" localSheetId="8">'Receita X Despesa'!$A$1:$H$14</definedName>
  </definedNames>
  <calcPr calcId="144525"/>
</workbook>
</file>

<file path=xl/calcChain.xml><?xml version="1.0" encoding="utf-8"?>
<calcChain xmlns="http://schemas.openxmlformats.org/spreadsheetml/2006/main">
  <c r="F12" i="10" l="1"/>
  <c r="D13" i="10"/>
  <c r="B13" i="10"/>
  <c r="D12" i="10"/>
  <c r="B12" i="10"/>
  <c r="F21" i="12"/>
  <c r="C18" i="12"/>
  <c r="C18" i="2"/>
  <c r="N23" i="15" l="1"/>
  <c r="A7" i="16" l="1"/>
  <c r="A8" i="16"/>
  <c r="A9" i="16"/>
  <c r="D13" i="16"/>
  <c r="M13" i="16"/>
  <c r="D14" i="16"/>
  <c r="E14" i="16"/>
  <c r="F14" i="16" s="1"/>
  <c r="M14" i="16"/>
  <c r="D15" i="16"/>
  <c r="K15" i="16"/>
  <c r="D16" i="16"/>
  <c r="D17" i="16"/>
  <c r="D18" i="16"/>
  <c r="D21" i="16"/>
  <c r="E21" i="16"/>
  <c r="F21" i="16" s="1"/>
  <c r="K21" i="16"/>
  <c r="L21" i="16"/>
  <c r="M21" i="16" s="1"/>
  <c r="D22" i="16"/>
  <c r="K22" i="16"/>
  <c r="D23" i="16"/>
  <c r="E23" i="16"/>
  <c r="F23" i="16" s="1"/>
  <c r="K23" i="16"/>
  <c r="L23" i="16"/>
  <c r="M23" i="16"/>
  <c r="D24" i="16"/>
  <c r="K24" i="16"/>
  <c r="L24" i="16"/>
  <c r="M24" i="16"/>
  <c r="D25" i="16"/>
  <c r="E25" i="16"/>
  <c r="F25" i="16" s="1"/>
  <c r="D26" i="16"/>
  <c r="F27" i="16"/>
  <c r="D28" i="16"/>
  <c r="D29" i="16"/>
  <c r="E29" i="16"/>
  <c r="F29" i="16" s="1"/>
  <c r="D30" i="16"/>
  <c r="D31" i="16"/>
  <c r="E31" i="16"/>
  <c r="F31" i="16"/>
  <c r="D32" i="16"/>
  <c r="A7" i="12" l="1"/>
  <c r="C23" i="15" l="1"/>
  <c r="F16" i="12"/>
  <c r="B23" i="15" l="1"/>
  <c r="C38" i="2"/>
  <c r="C32" i="2"/>
  <c r="B32" i="2"/>
  <c r="B37" i="2"/>
  <c r="B36" i="2"/>
  <c r="B38" i="2"/>
  <c r="B34" i="2"/>
  <c r="B31" i="2"/>
  <c r="C34" i="2"/>
  <c r="C31" i="2"/>
  <c r="N16" i="13" l="1"/>
  <c r="N23" i="13"/>
  <c r="D29" i="9" l="1"/>
  <c r="D27" i="9"/>
  <c r="D31" i="9" s="1"/>
  <c r="N16" i="15"/>
  <c r="B18" i="12"/>
  <c r="F24" i="12"/>
  <c r="F23" i="12"/>
  <c r="F20" i="12"/>
  <c r="F17" i="12"/>
  <c r="E26" i="12"/>
  <c r="E20" i="12"/>
  <c r="E24" i="12"/>
  <c r="E23" i="12"/>
  <c r="E21" i="12"/>
  <c r="E18" i="12"/>
  <c r="E17" i="12"/>
  <c r="E16" i="12"/>
  <c r="F18" i="12"/>
  <c r="G21" i="12" l="1"/>
  <c r="J22" i="15" l="1"/>
  <c r="I22" i="15"/>
  <c r="M22" i="15"/>
  <c r="M15" i="15"/>
  <c r="N15" i="15" s="1"/>
  <c r="L22" i="15"/>
  <c r="K22" i="15"/>
  <c r="L22" i="13"/>
  <c r="N15" i="13" l="1"/>
  <c r="F16" i="2"/>
  <c r="C22" i="2" l="1"/>
  <c r="D24" i="2"/>
  <c r="C37" i="2"/>
  <c r="E17" i="16" s="1"/>
  <c r="C36" i="2"/>
  <c r="E16" i="16" s="1"/>
  <c r="F16" i="16" s="1"/>
  <c r="A8" i="10"/>
  <c r="A9" i="10"/>
  <c r="A7" i="10"/>
  <c r="A7" i="13"/>
  <c r="A9" i="13"/>
  <c r="A8" i="13"/>
  <c r="A9" i="15"/>
  <c r="A8" i="15"/>
  <c r="A7" i="15"/>
  <c r="A9" i="9"/>
  <c r="A8" i="9"/>
  <c r="A7" i="9"/>
  <c r="A9" i="12"/>
  <c r="A8" i="12"/>
  <c r="F17" i="16" l="1"/>
  <c r="D23" i="12"/>
  <c r="C21" i="15" l="1"/>
  <c r="M20" i="15"/>
  <c r="K20" i="15"/>
  <c r="I20" i="15"/>
  <c r="H20" i="15"/>
  <c r="F20" i="15"/>
  <c r="E20" i="15"/>
  <c r="C20" i="15"/>
  <c r="N14" i="15"/>
  <c r="N13" i="15"/>
  <c r="N22" i="15" l="1"/>
  <c r="N21" i="15"/>
  <c r="N20" i="15"/>
  <c r="F19" i="12" l="1"/>
  <c r="E20" i="13" l="1"/>
  <c r="C20" i="13"/>
  <c r="K20" i="13"/>
  <c r="H22" i="13"/>
  <c r="G22" i="13"/>
  <c r="F22" i="13"/>
  <c r="E22" i="13"/>
  <c r="C22" i="13"/>
  <c r="N21" i="13"/>
  <c r="N14" i="13"/>
  <c r="N13" i="13"/>
  <c r="N20" i="13" l="1"/>
  <c r="N22" i="13"/>
  <c r="H13" i="10"/>
  <c r="F25" i="12"/>
  <c r="C25" i="12"/>
  <c r="E15" i="12"/>
  <c r="E14" i="12" s="1"/>
  <c r="E25" i="12"/>
  <c r="E22" i="12"/>
  <c r="B25" i="12"/>
  <c r="B22" i="12"/>
  <c r="B15" i="12"/>
  <c r="B14" i="12" s="1"/>
  <c r="E13" i="12" l="1"/>
  <c r="E27" i="12" s="1"/>
  <c r="B13" i="12"/>
  <c r="B27" i="12" s="1"/>
  <c r="G26" i="12"/>
  <c r="D26" i="12"/>
  <c r="G25" i="12"/>
  <c r="D25" i="12"/>
  <c r="C22" i="12"/>
  <c r="D22" i="12" s="1"/>
  <c r="G20" i="12"/>
  <c r="H20" i="12"/>
  <c r="D20" i="12"/>
  <c r="H18" i="12"/>
  <c r="D18" i="12"/>
  <c r="G17" i="12"/>
  <c r="D17" i="12"/>
  <c r="G16" i="12"/>
  <c r="D16" i="12"/>
  <c r="C15" i="12"/>
  <c r="D15" i="12" s="1"/>
  <c r="C14" i="12" l="1"/>
  <c r="D14" i="12" s="1"/>
  <c r="G18" i="12"/>
  <c r="H16" i="12"/>
  <c r="H17" i="12"/>
  <c r="H23" i="12"/>
  <c r="C13" i="12" l="1"/>
  <c r="B15" i="2"/>
  <c r="B14" i="2" s="1"/>
  <c r="D16" i="2"/>
  <c r="D17" i="2"/>
  <c r="F17" i="2"/>
  <c r="C15" i="2"/>
  <c r="F15" i="12" s="1"/>
  <c r="D18" i="2"/>
  <c r="F18" i="2"/>
  <c r="F19" i="2"/>
  <c r="D20" i="2"/>
  <c r="F20" i="2"/>
  <c r="D21" i="2"/>
  <c r="F21" i="2"/>
  <c r="B22" i="2"/>
  <c r="D23" i="2"/>
  <c r="F23" i="2"/>
  <c r="F24" i="2"/>
  <c r="B25" i="2"/>
  <c r="C25" i="2"/>
  <c r="D26" i="2"/>
  <c r="F26" i="2"/>
  <c r="F25" i="2" s="1"/>
  <c r="B30" i="2"/>
  <c r="B33" i="2"/>
  <c r="C33" i="2"/>
  <c r="D34" i="2"/>
  <c r="F34" i="2"/>
  <c r="F35" i="2"/>
  <c r="F36" i="2"/>
  <c r="B29" i="2" l="1"/>
  <c r="B39" i="2" s="1"/>
  <c r="F33" i="2"/>
  <c r="D33" i="2"/>
  <c r="D25" i="2"/>
  <c r="F22" i="2"/>
  <c r="D22" i="2"/>
  <c r="F22" i="12"/>
  <c r="B13" i="2"/>
  <c r="G15" i="12"/>
  <c r="H15" i="12"/>
  <c r="D13" i="12"/>
  <c r="H12" i="10"/>
  <c r="C27" i="12"/>
  <c r="F15" i="2"/>
  <c r="F14" i="2" s="1"/>
  <c r="F13" i="2" s="1"/>
  <c r="F27" i="2" s="1"/>
  <c r="C14" i="2"/>
  <c r="E13" i="16" s="1"/>
  <c r="D15" i="2"/>
  <c r="F13" i="16" l="1"/>
  <c r="E15" i="16"/>
  <c r="B27" i="2"/>
  <c r="F14" i="12"/>
  <c r="G14" i="12" s="1"/>
  <c r="H22" i="12"/>
  <c r="D27" i="12"/>
  <c r="C13" i="2"/>
  <c r="D14" i="2"/>
  <c r="F13" i="12" l="1"/>
  <c r="G13" i="12" s="1"/>
  <c r="L15" i="16"/>
  <c r="F15" i="16"/>
  <c r="E18" i="16"/>
  <c r="H14" i="12"/>
  <c r="D13" i="2"/>
  <c r="C27" i="2"/>
  <c r="E24" i="2" s="1"/>
  <c r="F27" i="12" l="1"/>
  <c r="G27" i="12" s="1"/>
  <c r="F18" i="16"/>
  <c r="E32" i="16"/>
  <c r="F32" i="16" s="1"/>
  <c r="E28" i="16"/>
  <c r="F28" i="16" s="1"/>
  <c r="E22" i="16"/>
  <c r="F22" i="16" s="1"/>
  <c r="E24" i="16"/>
  <c r="F24" i="16" s="1"/>
  <c r="E30" i="16"/>
  <c r="F30" i="16" s="1"/>
  <c r="E26" i="16"/>
  <c r="F26" i="16" s="1"/>
  <c r="L22" i="16"/>
  <c r="M22" i="16" s="1"/>
  <c r="M15" i="16"/>
  <c r="H13" i="12"/>
  <c r="E17" i="2"/>
  <c r="E18" i="2"/>
  <c r="E19" i="2"/>
  <c r="E21" i="2"/>
  <c r="E23" i="2"/>
  <c r="E26" i="2"/>
  <c r="E25" i="2" s="1"/>
  <c r="D27" i="2"/>
  <c r="E16" i="2"/>
  <c r="E20" i="2"/>
  <c r="H27" i="12" l="1"/>
  <c r="E15" i="2"/>
  <c r="E14" i="2" s="1"/>
  <c r="E22" i="2"/>
  <c r="E13" i="2" l="1"/>
  <c r="E27" i="2" s="1"/>
  <c r="B14" i="10"/>
  <c r="F32" i="2" l="1"/>
  <c r="D32" i="2"/>
  <c r="F29" i="9"/>
  <c r="G28" i="9"/>
  <c r="F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C30" i="2" l="1"/>
  <c r="D31" i="2"/>
  <c r="F31" i="2"/>
  <c r="F30" i="2" s="1"/>
  <c r="F29" i="2" s="1"/>
  <c r="F13" i="10"/>
  <c r="H29" i="9"/>
  <c r="E28" i="9"/>
  <c r="H28" i="9"/>
  <c r="F31" i="9"/>
  <c r="H27" i="9"/>
  <c r="E12" i="9"/>
  <c r="H13" i="9"/>
  <c r="H15" i="9"/>
  <c r="H17" i="9"/>
  <c r="H20" i="9"/>
  <c r="H22" i="9"/>
  <c r="H24" i="9"/>
  <c r="H26" i="9"/>
  <c r="H12" i="9"/>
  <c r="H14" i="9"/>
  <c r="H16" i="9"/>
  <c r="H18" i="9"/>
  <c r="H19" i="9"/>
  <c r="H21" i="9"/>
  <c r="H23" i="9"/>
  <c r="H25" i="9"/>
  <c r="E24" i="9"/>
  <c r="E20" i="9"/>
  <c r="E17" i="9"/>
  <c r="E13" i="9"/>
  <c r="E26" i="9"/>
  <c r="E22" i="9"/>
  <c r="E15" i="9"/>
  <c r="E31" i="9"/>
  <c r="E27" i="9"/>
  <c r="E25" i="9"/>
  <c r="E23" i="9"/>
  <c r="E21" i="9"/>
  <c r="E19" i="9"/>
  <c r="E18" i="9"/>
  <c r="E16" i="9"/>
  <c r="E14" i="9"/>
  <c r="E29" i="9"/>
  <c r="G27" i="9"/>
  <c r="G29" i="9"/>
  <c r="E20" i="1"/>
  <c r="E21" i="1"/>
  <c r="E22" i="1"/>
  <c r="E23" i="1"/>
  <c r="E24" i="1"/>
  <c r="E25" i="1"/>
  <c r="E26" i="1"/>
  <c r="E27" i="1"/>
  <c r="E28" i="1"/>
  <c r="E29" i="1"/>
  <c r="E30" i="1"/>
  <c r="E31" i="1"/>
  <c r="E15" i="1"/>
  <c r="E16" i="1"/>
  <c r="E17" i="1"/>
  <c r="E18" i="1"/>
  <c r="E19" i="1"/>
  <c r="E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14" i="1"/>
  <c r="B14" i="1"/>
  <c r="C29" i="2" l="1"/>
  <c r="D30" i="2"/>
  <c r="G31" i="9"/>
  <c r="H31" i="9"/>
  <c r="G32" i="1"/>
  <c r="C39" i="2" l="1"/>
  <c r="D29" i="2"/>
  <c r="I32" i="1"/>
  <c r="F32" i="1" l="1"/>
  <c r="F38" i="2" l="1"/>
  <c r="H27" i="1" l="1"/>
  <c r="J27" i="1" s="1"/>
  <c r="L27" i="1" s="1"/>
  <c r="H28" i="1"/>
  <c r="J28" i="1" s="1"/>
  <c r="H15" i="1"/>
  <c r="J15" i="1" s="1"/>
  <c r="L15" i="1" s="1"/>
  <c r="K15" i="1"/>
  <c r="H16" i="1"/>
  <c r="J16" i="1" s="1"/>
  <c r="L16" i="1" s="1"/>
  <c r="K16" i="1"/>
  <c r="H17" i="1"/>
  <c r="J17" i="1" s="1"/>
  <c r="L17" i="1" s="1"/>
  <c r="K17" i="1"/>
  <c r="H18" i="1"/>
  <c r="J18" i="1" s="1"/>
  <c r="L18" i="1" s="1"/>
  <c r="K18" i="1"/>
  <c r="H19" i="1"/>
  <c r="J19" i="1" s="1"/>
  <c r="L19" i="1" s="1"/>
  <c r="K19" i="1"/>
  <c r="H20" i="1"/>
  <c r="J20" i="1" s="1"/>
  <c r="L20" i="1" s="1"/>
  <c r="K20" i="1"/>
  <c r="H21" i="1"/>
  <c r="J21" i="1" s="1"/>
  <c r="L21" i="1" s="1"/>
  <c r="K21" i="1"/>
  <c r="H22" i="1"/>
  <c r="J22" i="1" s="1"/>
  <c r="L22" i="1" s="1"/>
  <c r="K22" i="1"/>
  <c r="H23" i="1"/>
  <c r="J23" i="1" s="1"/>
  <c r="L23" i="1" s="1"/>
  <c r="K23" i="1"/>
  <c r="H24" i="1"/>
  <c r="J24" i="1" s="1"/>
  <c r="L24" i="1" s="1"/>
  <c r="K24" i="1"/>
  <c r="H25" i="1"/>
  <c r="J25" i="1" s="1"/>
  <c r="L25" i="1" s="1"/>
  <c r="K25" i="1"/>
  <c r="H26" i="1"/>
  <c r="J26" i="1" s="1"/>
  <c r="L26" i="1" s="1"/>
  <c r="K26" i="1"/>
  <c r="K27" i="1"/>
  <c r="K28" i="1"/>
  <c r="H14" i="1"/>
  <c r="J14" i="1" s="1"/>
  <c r="L14" i="1" s="1"/>
  <c r="K14" i="1"/>
  <c r="L28" i="1" l="1"/>
  <c r="B8" i="1" l="1"/>
  <c r="K31" i="1"/>
  <c r="K30" i="1"/>
  <c r="K29" i="1"/>
  <c r="F37" i="2"/>
  <c r="H31" i="1"/>
  <c r="J31" i="1" s="1"/>
  <c r="H30" i="1"/>
  <c r="J30" i="1" s="1"/>
  <c r="H29" i="1"/>
  <c r="J29" i="1" s="1"/>
  <c r="E32" i="2" l="1"/>
  <c r="E34" i="2"/>
  <c r="E31" i="2"/>
  <c r="E35" i="2"/>
  <c r="E36" i="2"/>
  <c r="E37" i="2"/>
  <c r="J32" i="1"/>
  <c r="E30" i="2" l="1"/>
  <c r="E33" i="2"/>
  <c r="E38" i="2"/>
  <c r="D39" i="2"/>
  <c r="E29" i="2" l="1"/>
  <c r="B40" i="2"/>
  <c r="D14" i="10" l="1"/>
  <c r="C40" i="2"/>
  <c r="E39" i="2"/>
  <c r="F39" i="2"/>
  <c r="F40" i="2" s="1"/>
  <c r="K32" i="1"/>
  <c r="F14" i="10" l="1"/>
  <c r="H14" i="10"/>
</calcChain>
</file>

<file path=xl/comments1.xml><?xml version="1.0" encoding="utf-8"?>
<comments xmlns="http://schemas.openxmlformats.org/spreadsheetml/2006/main">
  <authors>
    <author>admin</author>
  </authors>
  <commentList>
    <comment ref="A18" authorId="0">
      <text>
        <r>
          <rPr>
            <sz val="9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13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13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R$ 3.879,02 • Acerto de Contas 2015 (TAQ e GVT) - 57ª Reunião Plenária Ordinária/18ª Reunião Plenária Ampliada do CAU/BR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Fundo de Apoio 
R$ </t>
        </r>
        <r>
          <rPr>
            <sz val="9"/>
            <color indexed="81"/>
            <rFont val="Tahoma"/>
            <family val="2"/>
          </rPr>
          <t>49.930,67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Fundo de Apoio - 
R$ 6.241,33
R$ 6.241,37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C20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20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da Sede R$ 520.000,00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33.120,00 -  Convénio IAB
Sou Arquiteto, e agora ?
Prêmio TFG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de equipamentos de SOM auditório - R$ 7.540,00</t>
        </r>
      </text>
    </comment>
  </commentList>
</comments>
</file>

<file path=xl/comments4.xml><?xml version="1.0" encoding="utf-8"?>
<comments xmlns="http://schemas.openxmlformats.org/spreadsheetml/2006/main">
  <authors>
    <author>Tania Mara Chaves Daldegan</author>
  </authors>
  <commentList>
    <comment ref="H21" authorId="0">
      <text>
        <r>
          <rPr>
            <b/>
            <sz val="12"/>
            <color indexed="81"/>
            <rFont val="Segoe UI"/>
            <family val="2"/>
          </rPr>
          <t xml:space="preserve">Despesas com Pessoal= A- B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<sst xmlns="http://schemas.openxmlformats.org/spreadsheetml/2006/main" count="393" uniqueCount="187">
  <si>
    <t>Unidade Organizacional/Comissão</t>
  </si>
  <si>
    <t>Projeto/Atividade</t>
  </si>
  <si>
    <t>P/A</t>
  </si>
  <si>
    <t>Denominação</t>
  </si>
  <si>
    <t>Previstas</t>
  </si>
  <si>
    <t xml:space="preserve">Metas </t>
  </si>
  <si>
    <t xml:space="preserve">Resultados </t>
  </si>
  <si>
    <t>Realizadas</t>
  </si>
  <si>
    <t>Previstos</t>
  </si>
  <si>
    <t>Alcançados no Período</t>
  </si>
  <si>
    <t>% de Realização</t>
  </si>
  <si>
    <t>TOTAL</t>
  </si>
  <si>
    <t>Especificação</t>
  </si>
  <si>
    <t>1.1 Receitas de Arrecadação</t>
  </si>
  <si>
    <t>1.1.1 Anuidades</t>
  </si>
  <si>
    <t xml:space="preserve"> - Pessoa Física</t>
  </si>
  <si>
    <t xml:space="preserve"> - Pessoa Jurídica</t>
  </si>
  <si>
    <t xml:space="preserve"> - Multas e Taxas</t>
  </si>
  <si>
    <t>1.1.2 RRT</t>
  </si>
  <si>
    <t>2.1 Receitas de Exercícios Anteriores</t>
  </si>
  <si>
    <t>1. Receitas Correntes</t>
  </si>
  <si>
    <t>2. Receitas de Capital</t>
  </si>
  <si>
    <t>RECEITAS TOTAIS</t>
  </si>
  <si>
    <t>1. Programação Operacional</t>
  </si>
  <si>
    <t>Projetos</t>
  </si>
  <si>
    <t>Atividades</t>
  </si>
  <si>
    <t>1.1 Despesas Correntes</t>
  </si>
  <si>
    <t>1.2 Despesas de Capital</t>
  </si>
  <si>
    <t>2. Aportes ao Fundo de Apoio Financeiro aos CAU/UF</t>
  </si>
  <si>
    <t>USOS TOTAIS</t>
  </si>
  <si>
    <t xml:space="preserve"> I -FONTES</t>
  </si>
  <si>
    <t>II - USOS</t>
  </si>
  <si>
    <t>VARIAÇÃO (I - II)</t>
  </si>
  <si>
    <r>
      <rPr>
        <b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>: P=Projeto; A=Atividade</t>
    </r>
  </si>
  <si>
    <t>Justificativas (quando o % de realização for inferior ou superior a 20%)</t>
  </si>
  <si>
    <t>Orçamento Aprovado (R$)</t>
  </si>
  <si>
    <t>Realizações (R$)</t>
  </si>
  <si>
    <t>1.2 Fundo de Apoio</t>
  </si>
  <si>
    <t>1.3 Demais Receitas Correntes</t>
  </si>
  <si>
    <t>1.3.1 Aplicações Financeiras</t>
  </si>
  <si>
    <t>1.3.2 Outras Receitas</t>
  </si>
  <si>
    <t>Justificativas e/ou medidas de gestão adotadas para o alcance dos resultados previstos</t>
  </si>
  <si>
    <t>FP</t>
  </si>
  <si>
    <t>P</t>
  </si>
  <si>
    <t>A</t>
  </si>
  <si>
    <t>Responsável pela Análise:</t>
  </si>
  <si>
    <t>Data da Análise:</t>
  </si>
  <si>
    <t>Valor Total             (a)</t>
  </si>
  <si>
    <t>Valor do Fundo de Apoio                    (b)</t>
  </si>
  <si>
    <t>% de Partic. do Fundo sobre a Progr. Total                 (c)</t>
  </si>
  <si>
    <t>Total Realizado (d)</t>
  </si>
  <si>
    <t>Total                              (f= d/a*100)</t>
  </si>
  <si>
    <t>Fundo de Apoio      (g=e/b*100)</t>
  </si>
  <si>
    <t xml:space="preserve"> -</t>
  </si>
  <si>
    <t>Data de Análise:</t>
  </si>
  <si>
    <t>Valor da Partic. do Fundo de Apoio         (% aprovado)               (e=d*c)</t>
  </si>
  <si>
    <t>Unidade Organizacional/   Comissão</t>
  </si>
  <si>
    <t>2. DEMONSTRATIVO DA EXECUÇÃO DO PLANO DE AÇÃO POR PROJETO E ATIVIDADE</t>
  </si>
  <si>
    <t>3. DEMONSTRATIVO DA EXECUÇÃO ORÇAMENTÁRIA POR PROJETO E ATIVIDADE</t>
  </si>
  <si>
    <t>COMENTÁRIO                                 (form.3):</t>
  </si>
  <si>
    <t>EXECUÇÃO DO PLANO DE AÇÃO E ORÇAMENTO - EXERCÍCIO 2014</t>
  </si>
  <si>
    <t>CAU/AL</t>
  </si>
  <si>
    <r>
      <rPr>
        <b/>
        <sz val="10"/>
        <color theme="1"/>
        <rFont val="Arial"/>
        <family val="2"/>
      </rPr>
      <t>Legenda</t>
    </r>
    <r>
      <rPr>
        <sz val="10"/>
        <color theme="1"/>
        <rFont val="Arial"/>
        <family val="2"/>
      </rPr>
      <t>: P=Projeto; A=Atividade; FP=Fundo de Apoio</t>
    </r>
  </si>
  <si>
    <t>3. Centro de Serviços Compartilhados - CSC</t>
  </si>
  <si>
    <t>-</t>
  </si>
  <si>
    <t xml:space="preserve"> - Anuidades ano anterior</t>
  </si>
  <si>
    <t>4. Reserva de Contingência</t>
  </si>
  <si>
    <t xml:space="preserve">Comissão Exercício Profissional - CEP </t>
  </si>
  <si>
    <t>Comissão de Ensino e Formação - CEF</t>
  </si>
  <si>
    <t>Presidência</t>
  </si>
  <si>
    <t>Caravana CAU</t>
  </si>
  <si>
    <t>Cauniversitário</t>
  </si>
  <si>
    <t>Ações de suprimento a demanda de deslocamento de pessoal</t>
  </si>
  <si>
    <t>Capacitação</t>
  </si>
  <si>
    <t>Comunicação - plano de mídia</t>
  </si>
  <si>
    <t>Patrocínio</t>
  </si>
  <si>
    <t>Fiscalização sistemática</t>
  </si>
  <si>
    <t xml:space="preserve">Ampliação das instalações da sede </t>
  </si>
  <si>
    <t>Aporte ao centro de serviços compartilhados - CSC</t>
  </si>
  <si>
    <t>Contribuição ao fundo nacional de apoio aos CAU/CAUFS</t>
  </si>
  <si>
    <t>Reserva de contigência</t>
  </si>
  <si>
    <t>TOTAL DESPESAS CORRENTES</t>
  </si>
  <si>
    <t>TOTAL DESPESAS DE CAPITAL</t>
  </si>
  <si>
    <t>TOTAL DAS DESPESAS</t>
  </si>
  <si>
    <t>% de Partic. sobre o realizado
(d)</t>
  </si>
  <si>
    <t>% de Partic. sobre o Prog. Total
(d)</t>
  </si>
  <si>
    <t>Período: Jan. a Jun./2015</t>
  </si>
  <si>
    <t>EXECUÇÃO DO PLANO DE AÇÃO E ORÇAMENTO - EXERCÍCIO 2016</t>
  </si>
  <si>
    <t>sou arquiteto, e agora?</t>
  </si>
  <si>
    <t>Dia do Arquiteto
(Prêmio TFG)</t>
  </si>
  <si>
    <t>Residência Técnica</t>
  </si>
  <si>
    <t>Programa de Formação continuada</t>
  </si>
  <si>
    <t>Atendimento</t>
  </si>
  <si>
    <t>Manutenção das rotinas administrativas do CAU/AL</t>
  </si>
  <si>
    <t>Planejameno e redesenho dos processos do CAU/AL</t>
  </si>
  <si>
    <t>Comissão de Administração e Finanças - CAF</t>
  </si>
  <si>
    <t>Período: Jan. a Mar/2016</t>
  </si>
  <si>
    <t>Variação
(valores em reais)</t>
  </si>
  <si>
    <t>%</t>
  </si>
  <si>
    <t>Orçamento 
Aprovado 2016</t>
  </si>
  <si>
    <t>%
Part.</t>
  </si>
  <si>
    <t>%
Execução Total</t>
  </si>
  <si>
    <t>Saldo a Executar
Total</t>
  </si>
  <si>
    <t>Variação
(%)</t>
  </si>
  <si>
    <t>JAN</t>
  </si>
  <si>
    <t>FEV</t>
  </si>
  <si>
    <t>MAR</t>
  </si>
  <si>
    <t>ABR</t>
  </si>
  <si>
    <t>MAI</t>
  </si>
  <si>
    <t>JUN</t>
  </si>
  <si>
    <t>JUL</t>
  </si>
  <si>
    <t>ANO</t>
  </si>
  <si>
    <t>AGO</t>
  </si>
  <si>
    <t>SET</t>
  </si>
  <si>
    <t>OUT</t>
  </si>
  <si>
    <t>NOV</t>
  </si>
  <si>
    <t>DEZ</t>
  </si>
  <si>
    <t>Relatório Mensal – Exercício 2016</t>
  </si>
  <si>
    <r>
      <t xml:space="preserve">RESPONSÁVEL PELA ELABORAÇÃO:  </t>
    </r>
    <r>
      <rPr>
        <sz val="16"/>
        <color theme="1"/>
        <rFont val="Calibri"/>
        <family val="2"/>
        <scheme val="minor"/>
      </rPr>
      <t>José Rodrio Lopes - Gerente Administrativo/Financeiro</t>
    </r>
  </si>
  <si>
    <t xml:space="preserve">1. DEMONSTRATIVO DE USOS E FONTES </t>
  </si>
  <si>
    <t>1.3. DEMONSTRATIVO DA EXECUÇÃO ORÇAMENTÁRIA POR PROJETO E ATIVIDADE</t>
  </si>
  <si>
    <t>*P/A - P = Projeto / A = Atividade</t>
  </si>
  <si>
    <t>*P/A</t>
  </si>
  <si>
    <t>Receita Corrente (+)</t>
  </si>
  <si>
    <t>Despesa Corrente (-)</t>
  </si>
  <si>
    <t>TOTAL
(Receita - Despesa)</t>
  </si>
  <si>
    <t>1.5. DEMONSTRATIVO DA EXECUÇÃO DA DESPESA MÊS X MÊS</t>
  </si>
  <si>
    <t>1.6. DEMONSTRATIVO DA DISPONIBILIZADE FINANCEIRA</t>
  </si>
  <si>
    <t>1.4. DEMONSTRATIVO DA EXECUÇÃO DA RECEITA MÊS X MÊS</t>
  </si>
  <si>
    <t>% de Partic. sobre a Progr. Total
(b)</t>
  </si>
  <si>
    <t>Total Realizado
(c)</t>
  </si>
  <si>
    <t>Valor aprovado
(a)</t>
  </si>
  <si>
    <t>BASE DE CÁLCULO</t>
  </si>
  <si>
    <t>APLICAÇÕES DE RECURSOS</t>
  </si>
  <si>
    <t>Valor Aprovado (R$)</t>
  </si>
  <si>
    <t xml:space="preserve">Valor Executado  (R$)             </t>
  </si>
  <si>
    <t>Execução (%)</t>
  </si>
  <si>
    <t xml:space="preserve">FOLHA DE PAGAMENTO </t>
  </si>
  <si>
    <t xml:space="preserve">Valor Executado (R$)                      </t>
  </si>
  <si>
    <t>1. Receita de Arrecadação</t>
  </si>
  <si>
    <t>A. Salários e Encargos (Valores totais)</t>
  </si>
  <si>
    <t>2. Recursos do fundo de apoio (CAU Básico)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</si>
  <si>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</si>
  <si>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</si>
  <si>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</si>
  <si>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</si>
  <si>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</si>
  <si>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</si>
  <si>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</si>
  <si>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t>LIMITES</t>
  </si>
  <si>
    <t xml:space="preserve">Aprovado </t>
  </si>
  <si>
    <t xml:space="preserve">Executado             </t>
  </si>
  <si>
    <t>Aprovado</t>
  </si>
  <si>
    <t xml:space="preserve">Executado                       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</si>
  <si>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</si>
  <si>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t>Valor</t>
  </si>
  <si>
    <t xml:space="preserve">% </t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</si>
  <si>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</si>
  <si>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</si>
  <si>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</si>
  <si>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</si>
  <si>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</si>
  <si>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Reserva de contingência</t>
  </si>
  <si>
    <t>1.7. LIMITES DE APLICAÇÃO DOS RECURSOS ESTRATÉGICOS:</t>
  </si>
  <si>
    <t>Gasto Mensal de todos os centros de custo - fase Pagamento</t>
  </si>
  <si>
    <r>
      <t xml:space="preserve"> Despesas com Pessoal </t>
    </r>
    <r>
      <rPr>
        <b/>
        <sz val="10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</si>
  <si>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 xml:space="preserve">(mínimo de 2%  e máximo de 4%  do valor total das respectivas folhas de pagamento -salários, encargos e benefícios)            </t>
    </r>
    <r>
      <rPr>
        <b/>
        <sz val="12"/>
        <color indexed="57"/>
        <rFont val="Calibri"/>
        <family val="2"/>
      </rPr>
      <t xml:space="preserve">      </t>
    </r>
  </si>
  <si>
    <t>Gasto Mensal de todos os centros de custo - fase Pagamento - Sem reforma sede (compra de equipametos)</t>
  </si>
  <si>
    <t>Receita mensal - Janeiro a Dezembro</t>
  </si>
  <si>
    <t>Receita mensal - Janeiro a Dezembro - Sem aporte CAU/BR (Fundo de apoio)</t>
  </si>
  <si>
    <t>Relatório Mensal – Exercício 2017</t>
  </si>
  <si>
    <t>Orçamento Aprovado
2017</t>
  </si>
  <si>
    <t>Realizado
2017</t>
  </si>
  <si>
    <t>Orçamento 
Aprovado 2017</t>
  </si>
  <si>
    <t xml:space="preserve"> </t>
  </si>
  <si>
    <t>2017</t>
  </si>
  <si>
    <t>Assistência Técnica em Habitação de Interesse Social - ATHIS</t>
  </si>
  <si>
    <t>1.2. Comparativo exercício anterior x atual (2016 x 2017)</t>
  </si>
  <si>
    <t>% 
Ano/
Ano</t>
  </si>
  <si>
    <r>
      <t xml:space="preserve">Justificativas
</t>
    </r>
    <r>
      <rPr>
        <b/>
        <sz val="8"/>
        <color theme="1"/>
        <rFont val="Calibri"/>
        <family val="2"/>
        <scheme val="minor"/>
      </rPr>
      <t>(quando o % de realização for inferior ou superior a 20%)</t>
    </r>
  </si>
  <si>
    <r>
      <t xml:space="preserve">DATA DE ELABORAÇÃO: </t>
    </r>
    <r>
      <rPr>
        <sz val="16"/>
        <color theme="1"/>
        <rFont val="Calibri"/>
        <family val="2"/>
        <scheme val="minor"/>
      </rPr>
      <t xml:space="preserve"> 25-04-2017</t>
    </r>
  </si>
  <si>
    <r>
      <t xml:space="preserve">Período: </t>
    </r>
    <r>
      <rPr>
        <sz val="16"/>
        <color theme="1"/>
        <rFont val="Calibri"/>
        <family val="2"/>
        <scheme val="minor"/>
      </rPr>
      <t xml:space="preserve">Jan-Mar-2017 </t>
    </r>
  </si>
  <si>
    <t>Realizado até Mar/2017</t>
  </si>
  <si>
    <t>Realizado até Mar/2016</t>
  </si>
  <si>
    <t>Período
01 a 03/2016</t>
  </si>
  <si>
    <t>Período
01 a 03/2017</t>
  </si>
  <si>
    <t>Dia do Arquiteto (Prêmio TFG)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</si>
</sst>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#,##0_ ;\-#,##0\ 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9"/>
      <color indexed="81"/>
      <name val="Segoe U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1"/>
      <name val="Segoe UI"/>
      <family val="2"/>
    </font>
    <font>
      <b/>
      <sz val="16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BDD1C5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1" fontId="0" fillId="2" borderId="1" xfId="0" applyNumberFormat="1" applyFill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1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1" fontId="1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vertical="center" wrapText="1"/>
    </xf>
    <xf numFmtId="0" fontId="0" fillId="0" borderId="1" xfId="0" applyBorder="1" applyAlignment="1" applyProtection="1">
      <alignment horizontal="justify" vertical="justify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justify" vertical="justify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1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readingOrder="1"/>
    </xf>
    <xf numFmtId="166" fontId="4" fillId="0" borderId="0" xfId="2" applyNumberFormat="1" applyFont="1" applyAlignment="1">
      <alignment readingOrder="1"/>
    </xf>
    <xf numFmtId="43" fontId="15" fillId="0" borderId="0" xfId="0" applyNumberFormat="1" applyFont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166" fontId="15" fillId="0" borderId="14" xfId="2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/>
    </xf>
    <xf numFmtId="0" fontId="0" fillId="2" borderId="0" xfId="0" applyFill="1"/>
    <xf numFmtId="0" fontId="19" fillId="2" borderId="0" xfId="0" applyFont="1" applyFill="1"/>
    <xf numFmtId="9" fontId="19" fillId="2" borderId="0" xfId="1" applyFont="1" applyFill="1" applyAlignment="1">
      <alignment horizontal="center"/>
    </xf>
    <xf numFmtId="9" fontId="19" fillId="2" borderId="0" xfId="1" applyFont="1" applyFill="1"/>
    <xf numFmtId="0" fontId="19" fillId="0" borderId="0" xfId="0" applyFont="1"/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9" fontId="18" fillId="3" borderId="1" xfId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/>
    </xf>
    <xf numFmtId="41" fontId="18" fillId="3" borderId="1" xfId="0" applyNumberFormat="1" applyFont="1" applyFill="1" applyBorder="1" applyAlignment="1">
      <alignment vertical="center"/>
    </xf>
    <xf numFmtId="9" fontId="18" fillId="3" borderId="12" xfId="1" applyFont="1" applyFill="1" applyBorder="1" applyAlignment="1">
      <alignment horizontal="center" vertical="center"/>
    </xf>
    <xf numFmtId="9" fontId="18" fillId="3" borderId="1" xfId="1" applyFont="1" applyFill="1" applyBorder="1" applyAlignment="1">
      <alignment horizontal="center" vertical="center"/>
    </xf>
    <xf numFmtId="9" fontId="19" fillId="3" borderId="1" xfId="1" applyFont="1" applyFill="1" applyBorder="1" applyAlignment="1">
      <alignment horizontal="center"/>
    </xf>
    <xf numFmtId="0" fontId="18" fillId="2" borderId="3" xfId="0" applyFont="1" applyFill="1" applyBorder="1" applyAlignment="1">
      <alignment vertical="center"/>
    </xf>
    <xf numFmtId="41" fontId="18" fillId="2" borderId="1" xfId="0" applyNumberFormat="1" applyFont="1" applyFill="1" applyBorder="1" applyAlignment="1">
      <alignment vertical="center"/>
    </xf>
    <xf numFmtId="9" fontId="18" fillId="2" borderId="12" xfId="1" applyFont="1" applyFill="1" applyBorder="1" applyAlignment="1">
      <alignment horizontal="center" vertical="center"/>
    </xf>
    <xf numFmtId="9" fontId="18" fillId="2" borderId="1" xfId="1" applyFont="1" applyFill="1" applyBorder="1" applyAlignment="1">
      <alignment horizontal="center" vertical="center"/>
    </xf>
    <xf numFmtId="9" fontId="19" fillId="2" borderId="1" xfId="1" applyFont="1" applyFill="1" applyBorder="1" applyAlignment="1">
      <alignment horizontal="center"/>
    </xf>
    <xf numFmtId="0" fontId="18" fillId="5" borderId="3" xfId="0" applyFont="1" applyFill="1" applyBorder="1" applyAlignment="1">
      <alignment vertical="center"/>
    </xf>
    <xf numFmtId="41" fontId="18" fillId="5" borderId="1" xfId="0" applyNumberFormat="1" applyFont="1" applyFill="1" applyBorder="1" applyAlignment="1">
      <alignment vertical="center"/>
    </xf>
    <xf numFmtId="9" fontId="18" fillId="5" borderId="12" xfId="1" applyFont="1" applyFill="1" applyBorder="1" applyAlignment="1">
      <alignment horizontal="center" vertical="center"/>
    </xf>
    <xf numFmtId="9" fontId="18" fillId="5" borderId="1" xfId="1" applyFont="1" applyFill="1" applyBorder="1" applyAlignment="1">
      <alignment horizontal="center" vertical="center"/>
    </xf>
    <xf numFmtId="9" fontId="18" fillId="5" borderId="1" xfId="1" applyFont="1" applyFill="1" applyBorder="1" applyAlignment="1">
      <alignment horizontal="center"/>
    </xf>
    <xf numFmtId="0" fontId="19" fillId="2" borderId="3" xfId="0" applyFont="1" applyFill="1" applyBorder="1" applyAlignment="1">
      <alignment vertical="center"/>
    </xf>
    <xf numFmtId="41" fontId="19" fillId="2" borderId="1" xfId="0" applyNumberFormat="1" applyFont="1" applyFill="1" applyBorder="1" applyAlignment="1">
      <alignment vertical="center"/>
    </xf>
    <xf numFmtId="9" fontId="18" fillId="2" borderId="3" xfId="1" applyFont="1" applyFill="1" applyBorder="1" applyAlignment="1">
      <alignment horizontal="center" vertical="center"/>
    </xf>
    <xf numFmtId="41" fontId="19" fillId="2" borderId="13" xfId="0" applyNumberFormat="1" applyFont="1" applyFill="1" applyBorder="1" applyAlignment="1">
      <alignment vertical="center"/>
    </xf>
    <xf numFmtId="9" fontId="18" fillId="3" borderId="3" xfId="1" applyFont="1" applyFill="1" applyBorder="1" applyAlignment="1">
      <alignment horizontal="center" vertical="center"/>
    </xf>
    <xf numFmtId="41" fontId="18" fillId="3" borderId="13" xfId="0" applyNumberFormat="1" applyFont="1" applyFill="1" applyBorder="1" applyAlignment="1">
      <alignment vertical="center"/>
    </xf>
    <xf numFmtId="4" fontId="19" fillId="0" borderId="0" xfId="0" applyNumberFormat="1" applyFont="1"/>
    <xf numFmtId="9" fontId="19" fillId="0" borderId="0" xfId="1" applyFont="1" applyAlignment="1">
      <alignment horizontal="center"/>
    </xf>
    <xf numFmtId="9" fontId="19" fillId="0" borderId="0" xfId="1" applyFont="1"/>
    <xf numFmtId="43" fontId="19" fillId="0" borderId="0" xfId="0" applyNumberFormat="1" applyFont="1"/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6" fontId="6" fillId="2" borderId="14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41" fontId="3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4" xfId="0" applyFill="1" applyBorder="1"/>
    <xf numFmtId="0" fontId="0" fillId="2" borderId="16" xfId="0" applyFill="1" applyBorder="1"/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41" fontId="3" fillId="3" borderId="18" xfId="0" applyNumberFormat="1" applyFont="1" applyFill="1" applyBorder="1" applyAlignment="1">
      <alignment horizontal="center" vertical="center" wrapText="1"/>
    </xf>
    <xf numFmtId="165" fontId="1" fillId="3" borderId="18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 vertical="center" wrapText="1"/>
    </xf>
    <xf numFmtId="166" fontId="15" fillId="5" borderId="14" xfId="2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readingOrder="1"/>
    </xf>
    <xf numFmtId="0" fontId="12" fillId="3" borderId="14" xfId="0" applyFont="1" applyFill="1" applyBorder="1" applyAlignment="1">
      <alignment horizontal="center" vertical="center" readingOrder="1"/>
    </xf>
    <xf numFmtId="9" fontId="12" fillId="0" borderId="14" xfId="1" applyFont="1" applyBorder="1" applyAlignment="1">
      <alignment horizontal="center" vertical="center" readingOrder="1"/>
    </xf>
    <xf numFmtId="9" fontId="13" fillId="3" borderId="14" xfId="1" applyFont="1" applyFill="1" applyBorder="1" applyAlignment="1">
      <alignment horizontal="center" vertical="center" readingOrder="1"/>
    </xf>
    <xf numFmtId="0" fontId="13" fillId="3" borderId="14" xfId="0" applyFont="1" applyFill="1" applyBorder="1" applyAlignment="1">
      <alignment horizontal="center" vertical="center" wrapText="1" readingOrder="1"/>
    </xf>
    <xf numFmtId="9" fontId="18" fillId="3" borderId="1" xfId="1" applyFont="1" applyFill="1" applyBorder="1" applyAlignment="1">
      <alignment horizontal="center"/>
    </xf>
    <xf numFmtId="166" fontId="12" fillId="5" borderId="14" xfId="2" applyNumberFormat="1" applyFont="1" applyFill="1" applyBorder="1" applyAlignment="1">
      <alignment vertical="center"/>
    </xf>
    <xf numFmtId="166" fontId="12" fillId="5" borderId="3" xfId="2" applyNumberFormat="1" applyFont="1" applyFill="1" applyBorder="1" applyAlignment="1">
      <alignment vertical="center"/>
    </xf>
    <xf numFmtId="43" fontId="15" fillId="2" borderId="0" xfId="0" applyNumberFormat="1" applyFont="1" applyFill="1" applyAlignment="1">
      <alignment horizontal="center" vertical="center"/>
    </xf>
    <xf numFmtId="166" fontId="15" fillId="2" borderId="0" xfId="2" applyNumberFormat="1" applyFont="1" applyFill="1" applyAlignment="1">
      <alignment horizontal="center" vertical="center"/>
    </xf>
    <xf numFmtId="0" fontId="24" fillId="6" borderId="32" xfId="0" applyFont="1" applyFill="1" applyBorder="1" applyAlignment="1">
      <alignment horizontal="left" vertical="center" wrapText="1"/>
    </xf>
    <xf numFmtId="0" fontId="25" fillId="2" borderId="0" xfId="0" applyFont="1" applyFill="1"/>
    <xf numFmtId="41" fontId="24" fillId="6" borderId="36" xfId="0" applyNumberFormat="1" applyFont="1" applyFill="1" applyBorder="1" applyAlignment="1">
      <alignment horizontal="center" vertical="center" wrapText="1"/>
    </xf>
    <xf numFmtId="41" fontId="24" fillId="6" borderId="37" xfId="0" applyNumberFormat="1" applyFont="1" applyFill="1" applyBorder="1" applyAlignment="1">
      <alignment horizontal="center" vertical="center" wrapText="1"/>
    </xf>
    <xf numFmtId="41" fontId="2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3" fontId="23" fillId="3" borderId="39" xfId="2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horizontal="left" vertical="center" wrapText="1"/>
    </xf>
    <xf numFmtId="41" fontId="23" fillId="2" borderId="27" xfId="0" applyNumberFormat="1" applyFont="1" applyFill="1" applyBorder="1" applyAlignment="1">
      <alignment horizontal="right" vertical="center" wrapText="1"/>
    </xf>
    <xf numFmtId="43" fontId="23" fillId="3" borderId="28" xfId="2" applyFont="1" applyFill="1" applyBorder="1" applyAlignment="1">
      <alignment horizontal="right" vertical="center" wrapText="1"/>
    </xf>
    <xf numFmtId="43" fontId="23" fillId="3" borderId="42" xfId="2" applyFont="1" applyFill="1" applyBorder="1" applyAlignment="1">
      <alignment horizontal="left" vertical="center" wrapText="1"/>
    </xf>
    <xf numFmtId="41" fontId="23" fillId="2" borderId="14" xfId="0" applyNumberFormat="1" applyFont="1" applyFill="1" applyBorder="1" applyAlignment="1">
      <alignment horizontal="left" vertical="center" wrapText="1"/>
    </xf>
    <xf numFmtId="43" fontId="23" fillId="3" borderId="16" xfId="2" applyFont="1" applyFill="1" applyBorder="1" applyAlignment="1">
      <alignment horizontal="right" vertical="center" wrapText="1"/>
    </xf>
    <xf numFmtId="41" fontId="23" fillId="3" borderId="18" xfId="0" applyNumberFormat="1" applyFont="1" applyFill="1" applyBorder="1" applyAlignment="1">
      <alignment horizontal="left" vertical="center" wrapText="1"/>
    </xf>
    <xf numFmtId="43" fontId="23" fillId="3" borderId="19" xfId="2" applyFont="1" applyFill="1" applyBorder="1" applyAlignment="1">
      <alignment horizontal="right" vertical="center" wrapText="1"/>
    </xf>
    <xf numFmtId="166" fontId="23" fillId="2" borderId="0" xfId="2" applyNumberFormat="1" applyFont="1" applyFill="1" applyBorder="1" applyAlignment="1">
      <alignment horizontal="right" vertical="center" wrapText="1"/>
    </xf>
    <xf numFmtId="43" fontId="23" fillId="2" borderId="0" xfId="2" applyFont="1" applyFill="1" applyBorder="1" applyAlignment="1">
      <alignment horizontal="left" vertical="center" wrapText="1"/>
    </xf>
    <xf numFmtId="166" fontId="23" fillId="2" borderId="0" xfId="2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41" fontId="2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2" applyNumberFormat="1" applyFont="1" applyFill="1" applyBorder="1" applyAlignment="1">
      <alignment horizontal="left" vertical="center" wrapText="1"/>
    </xf>
    <xf numFmtId="43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1" fontId="3" fillId="2" borderId="0" xfId="0" applyNumberFormat="1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/>
    <xf numFmtId="41" fontId="27" fillId="6" borderId="48" xfId="0" applyNumberFormat="1" applyFont="1" applyFill="1" applyBorder="1" applyAlignment="1">
      <alignment horizontal="center" vertical="center" wrapText="1"/>
    </xf>
    <xf numFmtId="41" fontId="27" fillId="6" borderId="49" xfId="0" applyNumberFormat="1" applyFont="1" applyFill="1" applyBorder="1" applyAlignment="1">
      <alignment horizontal="center" vertical="center" wrapText="1"/>
    </xf>
    <xf numFmtId="41" fontId="27" fillId="6" borderId="47" xfId="0" applyNumberFormat="1" applyFont="1" applyFill="1" applyBorder="1" applyAlignment="1">
      <alignment horizontal="center" vertical="center" wrapText="1"/>
    </xf>
    <xf numFmtId="41" fontId="27" fillId="6" borderId="50" xfId="0" applyNumberFormat="1" applyFont="1" applyFill="1" applyBorder="1" applyAlignment="1">
      <alignment horizontal="center" vertical="center" wrapText="1"/>
    </xf>
    <xf numFmtId="41" fontId="3" fillId="2" borderId="11" xfId="0" applyNumberFormat="1" applyFont="1" applyFill="1" applyBorder="1" applyAlignment="1">
      <alignment horizontal="center" vertical="center" wrapText="1"/>
    </xf>
    <xf numFmtId="166" fontId="3" fillId="2" borderId="11" xfId="2" applyNumberFormat="1" applyFont="1" applyFill="1" applyBorder="1" applyAlignment="1">
      <alignment horizontal="right" vertical="center" wrapText="1"/>
    </xf>
    <xf numFmtId="41" fontId="3" fillId="2" borderId="11" xfId="0" applyNumberFormat="1" applyFont="1" applyFill="1" applyBorder="1" applyAlignment="1">
      <alignment horizontal="right" vertical="center" wrapText="1"/>
    </xf>
    <xf numFmtId="43" fontId="3" fillId="3" borderId="51" xfId="2" applyFont="1" applyFill="1" applyBorder="1" applyAlignment="1">
      <alignment horizontal="right" vertical="center" wrapText="1"/>
    </xf>
    <xf numFmtId="41" fontId="3" fillId="2" borderId="14" xfId="0" applyNumberFormat="1" applyFont="1" applyFill="1" applyBorder="1" applyAlignment="1">
      <alignment horizontal="center" vertical="center" wrapText="1"/>
    </xf>
    <xf numFmtId="41" fontId="3" fillId="3" borderId="11" xfId="0" applyNumberFormat="1" applyFont="1" applyFill="1" applyBorder="1" applyAlignment="1">
      <alignment horizontal="right" vertical="center" wrapText="1"/>
    </xf>
    <xf numFmtId="41" fontId="32" fillId="7" borderId="14" xfId="0" applyNumberFormat="1" applyFont="1" applyFill="1" applyBorder="1" applyAlignment="1">
      <alignment horizontal="center" vertical="center" wrapText="1"/>
    </xf>
    <xf numFmtId="165" fontId="3" fillId="3" borderId="14" xfId="2" applyNumberFormat="1" applyFont="1" applyFill="1" applyBorder="1" applyAlignment="1">
      <alignment horizontal="right" vertical="center" wrapText="1"/>
    </xf>
    <xf numFmtId="165" fontId="3" fillId="3" borderId="16" xfId="1" applyNumberFormat="1" applyFont="1" applyFill="1" applyBorder="1" applyAlignment="1">
      <alignment horizontal="right" vertical="center" wrapText="1"/>
    </xf>
    <xf numFmtId="41" fontId="3" fillId="7" borderId="14" xfId="0" applyNumberFormat="1" applyFont="1" applyFill="1" applyBorder="1" applyAlignment="1">
      <alignment horizontal="center" vertical="center" wrapText="1"/>
    </xf>
    <xf numFmtId="165" fontId="3" fillId="3" borderId="14" xfId="1" applyNumberFormat="1" applyFont="1" applyFill="1" applyBorder="1" applyAlignment="1">
      <alignment horizontal="right" vertical="center" wrapText="1"/>
    </xf>
    <xf numFmtId="166" fontId="3" fillId="2" borderId="14" xfId="2" applyNumberFormat="1" applyFont="1" applyFill="1" applyBorder="1" applyAlignment="1">
      <alignment horizontal="right" vertical="center" wrapText="1"/>
    </xf>
    <xf numFmtId="41" fontId="3" fillId="2" borderId="14" xfId="0" applyNumberFormat="1" applyFont="1" applyFill="1" applyBorder="1" applyAlignment="1">
      <alignment horizontal="right" vertical="center" wrapText="1"/>
    </xf>
    <xf numFmtId="43" fontId="3" fillId="3" borderId="16" xfId="2" applyFont="1" applyFill="1" applyBorder="1" applyAlignment="1">
      <alignment horizontal="right" vertical="center" wrapText="1"/>
    </xf>
    <xf numFmtId="41" fontId="3" fillId="7" borderId="18" xfId="0" applyNumberFormat="1" applyFont="1" applyFill="1" applyBorder="1" applyAlignment="1">
      <alignment horizontal="center" vertical="center" wrapText="1"/>
    </xf>
    <xf numFmtId="165" fontId="3" fillId="3" borderId="18" xfId="1" applyNumberFormat="1" applyFont="1" applyFill="1" applyBorder="1" applyAlignment="1">
      <alignment horizontal="right" vertical="center" wrapText="1"/>
    </xf>
    <xf numFmtId="165" fontId="3" fillId="3" borderId="19" xfId="1" applyNumberFormat="1" applyFont="1" applyFill="1" applyBorder="1" applyAlignment="1">
      <alignment horizontal="right" vertical="center" wrapText="1"/>
    </xf>
    <xf numFmtId="43" fontId="3" fillId="2" borderId="14" xfId="2" applyFont="1" applyFill="1" applyBorder="1" applyAlignment="1">
      <alignment horizontal="right" vertical="center" wrapText="1"/>
    </xf>
    <xf numFmtId="165" fontId="3" fillId="3" borderId="18" xfId="2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166" fontId="23" fillId="3" borderId="29" xfId="2" applyNumberFormat="1" applyFont="1" applyFill="1" applyBorder="1" applyAlignment="1">
      <alignment horizontal="left" vertical="center" wrapText="1"/>
    </xf>
    <xf numFmtId="166" fontId="23" fillId="3" borderId="41" xfId="2" applyNumberFormat="1" applyFont="1" applyFill="1" applyBorder="1" applyAlignment="1">
      <alignment horizontal="left" vertical="center" wrapText="1"/>
    </xf>
    <xf numFmtId="166" fontId="1" fillId="3" borderId="1" xfId="2" applyNumberFormat="1" applyFont="1" applyFill="1" applyBorder="1" applyAlignment="1">
      <alignment vertical="center" wrapText="1"/>
    </xf>
    <xf numFmtId="166" fontId="1" fillId="0" borderId="1" xfId="2" applyNumberFormat="1" applyFont="1" applyBorder="1" applyAlignment="1">
      <alignment vertical="center" wrapText="1"/>
    </xf>
    <xf numFmtId="166" fontId="0" fillId="0" borderId="1" xfId="2" applyNumberFormat="1" applyFont="1" applyFill="1" applyBorder="1" applyAlignment="1">
      <alignment vertical="center" wrapText="1"/>
    </xf>
    <xf numFmtId="166" fontId="1" fillId="4" borderId="1" xfId="2" applyNumberFormat="1" applyFont="1" applyFill="1" applyBorder="1" applyAlignment="1">
      <alignment vertical="center" wrapText="1"/>
    </xf>
    <xf numFmtId="166" fontId="3" fillId="3" borderId="14" xfId="2" applyNumberFormat="1" applyFont="1" applyFill="1" applyBorder="1" applyAlignment="1">
      <alignment horizontal="center" vertical="center" wrapText="1"/>
    </xf>
    <xf numFmtId="166" fontId="0" fillId="2" borderId="14" xfId="2" applyNumberFormat="1" applyFont="1" applyFill="1" applyBorder="1"/>
    <xf numFmtId="166" fontId="3" fillId="3" borderId="18" xfId="2" applyNumberFormat="1" applyFont="1" applyFill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166" fontId="24" fillId="6" borderId="41" xfId="2" applyNumberFormat="1" applyFont="1" applyFill="1" applyBorder="1" applyAlignment="1">
      <alignment horizontal="left" vertical="center" wrapText="1"/>
    </xf>
    <xf numFmtId="43" fontId="24" fillId="6" borderId="42" xfId="2" applyFont="1" applyFill="1" applyBorder="1" applyAlignment="1">
      <alignment horizontal="left" vertical="center" wrapText="1"/>
    </xf>
    <xf numFmtId="166" fontId="24" fillId="6" borderId="44" xfId="2" applyNumberFormat="1" applyFont="1" applyFill="1" applyBorder="1" applyAlignment="1">
      <alignment horizontal="left" vertical="center" wrapText="1"/>
    </xf>
    <xf numFmtId="43" fontId="24" fillId="6" borderId="45" xfId="2" applyNumberFormat="1" applyFont="1" applyFill="1" applyBorder="1" applyAlignment="1">
      <alignment horizontal="center" vertical="center" wrapText="1"/>
    </xf>
    <xf numFmtId="166" fontId="0" fillId="0" borderId="14" xfId="2" applyNumberFormat="1" applyFont="1" applyFill="1" applyBorder="1" applyAlignment="1">
      <alignment vertical="center" wrapText="1"/>
    </xf>
    <xf numFmtId="166" fontId="0" fillId="0" borderId="14" xfId="2" applyNumberFormat="1" applyFont="1" applyFill="1" applyBorder="1"/>
    <xf numFmtId="166" fontId="1" fillId="0" borderId="1" xfId="2" applyNumberFormat="1" applyFont="1" applyFill="1" applyBorder="1" applyAlignment="1">
      <alignment vertical="center" wrapText="1"/>
    </xf>
    <xf numFmtId="41" fontId="19" fillId="0" borderId="1" xfId="0" applyNumberFormat="1" applyFont="1" applyFill="1" applyBorder="1" applyAlignment="1">
      <alignment vertical="center"/>
    </xf>
    <xf numFmtId="41" fontId="18" fillId="0" borderId="1" xfId="0" applyNumberFormat="1" applyFont="1" applyFill="1" applyBorder="1" applyAlignment="1">
      <alignment vertical="center"/>
    </xf>
    <xf numFmtId="41" fontId="23" fillId="0" borderId="27" xfId="0" applyNumberFormat="1" applyFont="1" applyFill="1" applyBorder="1" applyAlignment="1">
      <alignment horizontal="right" vertical="center" wrapText="1"/>
    </xf>
    <xf numFmtId="166" fontId="0" fillId="2" borderId="1" xfId="2" applyNumberFormat="1" applyFont="1" applyFill="1" applyBorder="1" applyAlignment="1">
      <alignment vertical="center" wrapText="1"/>
    </xf>
    <xf numFmtId="166" fontId="0" fillId="2" borderId="0" xfId="2" applyNumberFormat="1" applyFont="1" applyFill="1"/>
    <xf numFmtId="166" fontId="1" fillId="2" borderId="1" xfId="2" applyNumberFormat="1" applyFont="1" applyFill="1" applyBorder="1" applyAlignment="1">
      <alignment vertical="center" wrapText="1"/>
    </xf>
    <xf numFmtId="0" fontId="36" fillId="3" borderId="1" xfId="0" applyFont="1" applyFill="1" applyBorder="1" applyAlignment="1">
      <alignment vertical="center" wrapText="1"/>
    </xf>
    <xf numFmtId="41" fontId="36" fillId="3" borderId="1" xfId="0" applyNumberFormat="1" applyFont="1" applyFill="1" applyBorder="1" applyAlignment="1">
      <alignment vertical="center" wrapText="1"/>
    </xf>
    <xf numFmtId="164" fontId="36" fillId="3" borderId="1" xfId="0" applyNumberFormat="1" applyFont="1" applyFill="1" applyBorder="1" applyAlignment="1">
      <alignment vertical="center" wrapText="1"/>
    </xf>
    <xf numFmtId="0" fontId="36" fillId="4" borderId="1" xfId="0" applyFont="1" applyFill="1" applyBorder="1" applyAlignment="1">
      <alignment vertical="center" wrapText="1"/>
    </xf>
    <xf numFmtId="41" fontId="36" fillId="4" borderId="1" xfId="0" applyNumberFormat="1" applyFont="1" applyFill="1" applyBorder="1" applyAlignment="1">
      <alignment vertical="center" wrapText="1"/>
    </xf>
    <xf numFmtId="164" fontId="36" fillId="4" borderId="1" xfId="0" applyNumberFormat="1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41" fontId="36" fillId="0" borderId="1" xfId="0" applyNumberFormat="1" applyFont="1" applyBorder="1" applyAlignment="1">
      <alignment vertical="center" wrapText="1"/>
    </xf>
    <xf numFmtId="164" fontId="36" fillId="0" borderId="1" xfId="0" applyNumberFormat="1" applyFont="1" applyBorder="1" applyAlignment="1">
      <alignment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41" fontId="37" fillId="0" borderId="1" xfId="0" applyNumberFormat="1" applyFont="1" applyFill="1" applyBorder="1" applyAlignment="1">
      <alignment vertical="center" wrapText="1"/>
    </xf>
    <xf numFmtId="164" fontId="37" fillId="0" borderId="1" xfId="0" applyNumberFormat="1" applyFont="1" applyBorder="1" applyAlignment="1">
      <alignment vertical="center" wrapText="1"/>
    </xf>
    <xf numFmtId="41" fontId="37" fillId="0" borderId="1" xfId="0" applyNumberFormat="1" applyFont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41" fontId="36" fillId="0" borderId="1" xfId="0" applyNumberFormat="1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6" fontId="3" fillId="2" borderId="14" xfId="2" quotePrefix="1" applyNumberFormat="1" applyFont="1" applyFill="1" applyBorder="1" applyAlignment="1">
      <alignment horizontal="right" vertical="center" wrapText="1"/>
    </xf>
    <xf numFmtId="166" fontId="15" fillId="0" borderId="2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166" fontId="15" fillId="5" borderId="3" xfId="2" applyNumberFormat="1" applyFont="1" applyFill="1" applyBorder="1" applyAlignment="1">
      <alignment horizontal="center" vertical="center"/>
    </xf>
    <xf numFmtId="166" fontId="15" fillId="0" borderId="59" xfId="2" applyNumberFormat="1" applyFont="1" applyBorder="1" applyAlignment="1">
      <alignment horizontal="center" vertical="center"/>
    </xf>
    <xf numFmtId="166" fontId="15" fillId="0" borderId="11" xfId="2" applyNumberFormat="1" applyFont="1" applyBorder="1" applyAlignment="1">
      <alignment horizontal="center" vertical="center"/>
    </xf>
    <xf numFmtId="166" fontId="15" fillId="0" borderId="58" xfId="2" applyNumberFormat="1" applyFont="1" applyBorder="1" applyAlignment="1">
      <alignment horizontal="center" vertical="center"/>
    </xf>
    <xf numFmtId="43" fontId="16" fillId="3" borderId="57" xfId="0" applyNumberFormat="1" applyFont="1" applyFill="1" applyBorder="1" applyAlignment="1">
      <alignment horizontal="center" vertical="center"/>
    </xf>
    <xf numFmtId="43" fontId="16" fillId="5" borderId="57" xfId="0" applyNumberFormat="1" applyFont="1" applyFill="1" applyBorder="1" applyAlignment="1">
      <alignment horizontal="center" vertical="center"/>
    </xf>
    <xf numFmtId="166" fontId="21" fillId="5" borderId="57" xfId="2" applyNumberFormat="1" applyFont="1" applyFill="1" applyBorder="1" applyAlignment="1">
      <alignment horizontal="center" vertical="center" wrapText="1"/>
    </xf>
    <xf numFmtId="166" fontId="21" fillId="2" borderId="57" xfId="2" applyNumberFormat="1" applyFont="1" applyFill="1" applyBorder="1" applyAlignment="1">
      <alignment vertical="center" wrapText="1"/>
    </xf>
    <xf numFmtId="166" fontId="21" fillId="5" borderId="57" xfId="2" applyNumberFormat="1" applyFont="1" applyFill="1" applyBorder="1" applyAlignment="1">
      <alignment vertical="center" wrapText="1"/>
    </xf>
    <xf numFmtId="166" fontId="15" fillId="0" borderId="56" xfId="2" applyNumberFormat="1" applyFont="1" applyBorder="1" applyAlignment="1">
      <alignment horizontal="center" vertical="center"/>
    </xf>
    <xf numFmtId="166" fontId="15" fillId="5" borderId="5" xfId="2" applyNumberFormat="1" applyFont="1" applyFill="1" applyBorder="1" applyAlignment="1">
      <alignment horizontal="center" vertical="center"/>
    </xf>
    <xf numFmtId="166" fontId="15" fillId="0" borderId="7" xfId="2" applyNumberFormat="1" applyFont="1" applyBorder="1" applyAlignment="1">
      <alignment horizontal="center" vertical="center"/>
    </xf>
    <xf numFmtId="166" fontId="15" fillId="0" borderId="5" xfId="2" applyNumberFormat="1" applyFont="1" applyBorder="1" applyAlignment="1">
      <alignment horizontal="center" vertical="center"/>
    </xf>
    <xf numFmtId="43" fontId="16" fillId="3" borderId="38" xfId="0" applyNumberFormat="1" applyFont="1" applyFill="1" applyBorder="1" applyAlignment="1">
      <alignment horizontal="center" vertical="center"/>
    </xf>
    <xf numFmtId="43" fontId="16" fillId="5" borderId="21" xfId="0" applyNumberFormat="1" applyFont="1" applyFill="1" applyBorder="1" applyAlignment="1">
      <alignment horizontal="center" vertical="center"/>
    </xf>
    <xf numFmtId="166" fontId="21" fillId="5" borderId="21" xfId="2" applyNumberFormat="1" applyFont="1" applyFill="1" applyBorder="1" applyAlignment="1">
      <alignment horizontal="center" vertical="center" wrapText="1"/>
    </xf>
    <xf numFmtId="49" fontId="16" fillId="3" borderId="57" xfId="0" applyNumberFormat="1" applyFont="1" applyFill="1" applyBorder="1" applyAlignment="1">
      <alignment horizontal="center" vertical="center"/>
    </xf>
    <xf numFmtId="166" fontId="15" fillId="0" borderId="2" xfId="2" applyNumberFormat="1" applyFont="1" applyFill="1" applyBorder="1" applyAlignment="1">
      <alignment horizontal="center" vertical="center"/>
    </xf>
    <xf numFmtId="166" fontId="12" fillId="5" borderId="5" xfId="2" applyNumberFormat="1" applyFont="1" applyFill="1" applyBorder="1" applyAlignment="1">
      <alignment vertical="center"/>
    </xf>
    <xf numFmtId="166" fontId="12" fillId="2" borderId="56" xfId="2" applyNumberFormat="1" applyFont="1" applyFill="1" applyBorder="1" applyAlignment="1">
      <alignment vertical="center"/>
    </xf>
    <xf numFmtId="166" fontId="12" fillId="2" borderId="11" xfId="2" applyNumberFormat="1" applyFont="1" applyFill="1" applyBorder="1" applyAlignment="1">
      <alignment vertical="center"/>
    </xf>
    <xf numFmtId="166" fontId="12" fillId="2" borderId="58" xfId="2" applyNumberFormat="1" applyFont="1" applyFill="1" applyBorder="1" applyAlignment="1">
      <alignment vertical="center"/>
    </xf>
    <xf numFmtId="166" fontId="41" fillId="5" borderId="57" xfId="2" applyNumberFormat="1" applyFont="1" applyFill="1" applyBorder="1" applyAlignment="1">
      <alignment horizontal="center" vertical="center" wrapText="1"/>
    </xf>
    <xf numFmtId="166" fontId="42" fillId="2" borderId="57" xfId="2" applyNumberFormat="1" applyFont="1" applyFill="1" applyBorder="1" applyAlignment="1">
      <alignment vertical="center" wrapText="1"/>
    </xf>
    <xf numFmtId="166" fontId="42" fillId="5" borderId="57" xfId="2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4" fillId="6" borderId="3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 wrapText="1"/>
    </xf>
    <xf numFmtId="0" fontId="21" fillId="3" borderId="23" xfId="0" applyFont="1" applyFill="1" applyBorder="1" applyAlignment="1">
      <alignment horizontal="left" vertical="center" wrapText="1"/>
    </xf>
    <xf numFmtId="0" fontId="21" fillId="3" borderId="24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left" vertical="center" wrapText="1"/>
    </xf>
    <xf numFmtId="166" fontId="13" fillId="3" borderId="14" xfId="2" applyNumberFormat="1" applyFont="1" applyFill="1" applyBorder="1" applyAlignment="1">
      <alignment horizontal="center" vertical="center" wrapText="1" readingOrder="1"/>
    </xf>
    <xf numFmtId="167" fontId="12" fillId="0" borderId="14" xfId="2" applyNumberFormat="1" applyFont="1" applyFill="1" applyBorder="1" applyAlignment="1">
      <alignment horizontal="center" vertical="center" readingOrder="1"/>
    </xf>
    <xf numFmtId="167" fontId="13" fillId="3" borderId="14" xfId="2" applyNumberFormat="1" applyFont="1" applyFill="1" applyBorder="1" applyAlignment="1">
      <alignment horizontal="center" vertical="center" readingOrder="1"/>
    </xf>
    <xf numFmtId="167" fontId="42" fillId="0" borderId="14" xfId="2" applyNumberFormat="1" applyFont="1" applyBorder="1" applyAlignment="1">
      <alignment horizontal="center" vertical="center" readingOrder="1"/>
    </xf>
    <xf numFmtId="167" fontId="13" fillId="0" borderId="14" xfId="2" applyNumberFormat="1" applyFont="1" applyBorder="1" applyAlignment="1">
      <alignment horizontal="center" vertical="center" readingOrder="1"/>
    </xf>
    <xf numFmtId="167" fontId="42" fillId="3" borderId="14" xfId="2" applyNumberFormat="1" applyFont="1" applyFill="1" applyBorder="1" applyAlignment="1">
      <alignment horizontal="center" vertical="center" readingOrder="1"/>
    </xf>
    <xf numFmtId="0" fontId="23" fillId="2" borderId="33" xfId="0" applyFont="1" applyFill="1" applyBorder="1" applyAlignment="1">
      <alignment horizontal="left"/>
    </xf>
    <xf numFmtId="0" fontId="24" fillId="6" borderId="34" xfId="0" applyFont="1" applyFill="1" applyBorder="1" applyAlignment="1">
      <alignment horizontal="center" vertical="center" textRotation="90"/>
    </xf>
    <xf numFmtId="0" fontId="24" fillId="6" borderId="38" xfId="0" applyFont="1" applyFill="1" applyBorder="1" applyAlignment="1">
      <alignment horizontal="center" vertical="center" textRotation="90"/>
    </xf>
    <xf numFmtId="0" fontId="24" fillId="6" borderId="21" xfId="0" applyFont="1" applyFill="1" applyBorder="1" applyAlignment="1">
      <alignment horizontal="center" vertical="center" textRotation="90"/>
    </xf>
    <xf numFmtId="41" fontId="24" fillId="6" borderId="35" xfId="0" applyNumberFormat="1" applyFont="1" applyFill="1" applyBorder="1" applyAlignment="1">
      <alignment horizontal="center" vertical="center" wrapText="1"/>
    </xf>
    <xf numFmtId="41" fontId="24" fillId="6" borderId="36" xfId="0" applyNumberFormat="1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left" vertical="center"/>
    </xf>
    <xf numFmtId="0" fontId="26" fillId="2" borderId="30" xfId="0" applyFont="1" applyFill="1" applyBorder="1" applyAlignment="1">
      <alignment horizontal="left" vertical="center"/>
    </xf>
    <xf numFmtId="41" fontId="23" fillId="2" borderId="40" xfId="0" applyNumberFormat="1" applyFont="1" applyFill="1" applyBorder="1" applyAlignment="1">
      <alignment horizontal="left" vertical="center" wrapText="1"/>
    </xf>
    <xf numFmtId="41" fontId="23" fillId="2" borderId="27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41" fontId="23" fillId="2" borderId="5" xfId="0" applyNumberFormat="1" applyFont="1" applyFill="1" applyBorder="1" applyAlignment="1">
      <alignment horizontal="left" vertical="center" wrapText="1"/>
    </xf>
    <xf numFmtId="41" fontId="23" fillId="2" borderId="14" xfId="0" applyNumberFormat="1" applyFont="1" applyFill="1" applyBorder="1" applyAlignment="1">
      <alignment horizontal="left" vertical="center" wrapText="1"/>
    </xf>
    <xf numFmtId="41" fontId="24" fillId="6" borderId="15" xfId="0" applyNumberFormat="1" applyFont="1" applyFill="1" applyBorder="1" applyAlignment="1">
      <alignment horizontal="left" vertical="center" wrapText="1"/>
    </xf>
    <xf numFmtId="41" fontId="24" fillId="6" borderId="3" xfId="0" applyNumberFormat="1" applyFont="1" applyFill="1" applyBorder="1" applyAlignment="1">
      <alignment horizontal="left" vertical="center" wrapText="1"/>
    </xf>
    <xf numFmtId="41" fontId="23" fillId="2" borderId="43" xfId="0" applyNumberFormat="1" applyFont="1" applyFill="1" applyBorder="1" applyAlignment="1">
      <alignment horizontal="left" vertical="center" wrapText="1"/>
    </xf>
    <xf numFmtId="41" fontId="23" fillId="2" borderId="18" xfId="0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left" vertical="center" wrapText="1"/>
    </xf>
    <xf numFmtId="0" fontId="24" fillId="6" borderId="31" xfId="0" applyFont="1" applyFill="1" applyBorder="1" applyAlignment="1">
      <alignment horizontal="left" vertical="center" wrapText="1"/>
    </xf>
    <xf numFmtId="0" fontId="27" fillId="6" borderId="46" xfId="0" applyFont="1" applyFill="1" applyBorder="1" applyAlignment="1">
      <alignment horizontal="center" vertical="center" textRotation="90"/>
    </xf>
    <xf numFmtId="0" fontId="27" fillId="6" borderId="53" xfId="0" applyFont="1" applyFill="1" applyBorder="1" applyAlignment="1">
      <alignment horizontal="center" vertical="center" textRotation="90"/>
    </xf>
    <xf numFmtId="41" fontId="27" fillId="6" borderId="47" xfId="0" applyNumberFormat="1" applyFont="1" applyFill="1" applyBorder="1" applyAlignment="1">
      <alignment horizontal="center" vertical="center" wrapText="1"/>
    </xf>
    <xf numFmtId="41" fontId="27" fillId="6" borderId="48" xfId="0" applyNumberFormat="1" applyFont="1" applyFill="1" applyBorder="1" applyAlignment="1">
      <alignment horizontal="center" vertical="center" wrapText="1"/>
    </xf>
    <xf numFmtId="41" fontId="27" fillId="6" borderId="50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justify" vertical="justify" wrapText="1"/>
    </xf>
    <xf numFmtId="0" fontId="1" fillId="7" borderId="8" xfId="0" applyFont="1" applyFill="1" applyBorder="1" applyAlignment="1">
      <alignment horizontal="justify" vertical="justify" wrapText="1"/>
    </xf>
    <xf numFmtId="0" fontId="1" fillId="7" borderId="55" xfId="0" applyFont="1" applyFill="1" applyBorder="1" applyAlignment="1">
      <alignment horizontal="justify" vertical="justify" wrapText="1"/>
    </xf>
    <xf numFmtId="0" fontId="1" fillId="7" borderId="56" xfId="0" applyFont="1" applyFill="1" applyBorder="1" applyAlignment="1">
      <alignment horizontal="justify" vertical="justify" wrapText="1"/>
    </xf>
    <xf numFmtId="166" fontId="4" fillId="2" borderId="0" xfId="2" applyNumberFormat="1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justify" vertical="justify" wrapText="1"/>
    </xf>
    <xf numFmtId="0" fontId="3" fillId="7" borderId="14" xfId="0" applyFont="1" applyFill="1" applyBorder="1" applyAlignment="1">
      <alignment horizontal="justify" vertical="justify" wrapText="1"/>
    </xf>
    <xf numFmtId="0" fontId="3" fillId="7" borderId="17" xfId="0" applyFont="1" applyFill="1" applyBorder="1" applyAlignment="1">
      <alignment horizontal="justify" vertical="justify" wrapText="1"/>
    </xf>
    <xf numFmtId="0" fontId="3" fillId="7" borderId="18" xfId="0" applyFont="1" applyFill="1" applyBorder="1" applyAlignment="1">
      <alignment horizontal="justify" vertical="justify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008080"/>
      <color rgb="FF009999"/>
      <color rgb="FF00C5C0"/>
      <color rgb="FF318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10</xdr:col>
      <xdr:colOff>539750</xdr:colOff>
      <xdr:row>32</xdr:row>
      <xdr:rowOff>142876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0" y="50800"/>
          <a:ext cx="8858250" cy="61880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t-BR" sz="12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RELATÓRIO DE EXECUÇÃO MENSAL </a:t>
          </a: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 </a:t>
          </a:r>
          <a:endParaRPr lang="pt-BR" sz="18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</xdr:row>
      <xdr:rowOff>161925</xdr:rowOff>
    </xdr:from>
    <xdr:to>
      <xdr:col>9</xdr:col>
      <xdr:colOff>2867025</xdr:colOff>
      <xdr:row>30</xdr:row>
      <xdr:rowOff>133350</xdr:rowOff>
    </xdr:to>
    <xdr:sp macro="" textlink="">
      <xdr:nvSpPr>
        <xdr:cNvPr id="3" name="Freeform 7"/>
        <xdr:cNvSpPr>
          <a:spLocks/>
        </xdr:cNvSpPr>
      </xdr:nvSpPr>
      <xdr:spPr bwMode="auto">
        <a:xfrm flipH="1">
          <a:off x="0" y="4543425"/>
          <a:ext cx="8353425" cy="1304925"/>
        </a:xfrm>
        <a:custGeom>
          <a:avLst/>
          <a:gdLst>
            <a:gd name="T0" fmla="*/ 0 w 3466"/>
            <a:gd name="T1" fmla="*/ 2147483646 h 3550"/>
            <a:gd name="T2" fmla="*/ 0 w 3466"/>
            <a:gd name="T3" fmla="*/ 2147483646 h 3550"/>
            <a:gd name="T4" fmla="*/ 2147483646 w 3466"/>
            <a:gd name="T5" fmla="*/ 2147483646 h 3550"/>
            <a:gd name="T6" fmla="*/ 2147483646 w 3466"/>
            <a:gd name="T7" fmla="*/ 0 h 3550"/>
            <a:gd name="T8" fmla="*/ 0 w 3466"/>
            <a:gd name="T9" fmla="*/ 2147483646 h 355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66" h="3550">
              <a:moveTo>
                <a:pt x="0" y="569"/>
              </a:moveTo>
              <a:lnTo>
                <a:pt x="0" y="2930"/>
              </a:lnTo>
              <a:lnTo>
                <a:pt x="3466" y="3550"/>
              </a:lnTo>
              <a:lnTo>
                <a:pt x="3466" y="0"/>
              </a:lnTo>
              <a:lnTo>
                <a:pt x="0" y="569"/>
              </a:lnTo>
              <a:close/>
            </a:path>
          </a:pathLst>
        </a:custGeom>
        <a:solidFill>
          <a:srgbClr val="205867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296331</xdr:colOff>
      <xdr:row>25</xdr:row>
      <xdr:rowOff>70857</xdr:rowOff>
    </xdr:from>
    <xdr:to>
      <xdr:col>9</xdr:col>
      <xdr:colOff>2899831</xdr:colOff>
      <xdr:row>28</xdr:row>
      <xdr:rowOff>148166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 flipH="1">
          <a:off x="1523998" y="4833357"/>
          <a:ext cx="6900333" cy="648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pt-BR" sz="4400" b="0" i="0" u="none" strike="noStrike" baseline="0">
              <a:solidFill>
                <a:srgbClr val="215868"/>
              </a:solidFill>
              <a:latin typeface="Arial"/>
              <a:cs typeface="Arial"/>
            </a:rPr>
            <a:t>             Março 2017</a:t>
          </a:r>
        </a:p>
      </xdr:txBody>
    </xdr:sp>
    <xdr:clientData/>
  </xdr:twoCellAnchor>
  <xdr:twoCellAnchor editAs="oneCell">
    <xdr:from>
      <xdr:col>5</xdr:col>
      <xdr:colOff>11206</xdr:colOff>
      <xdr:row>2</xdr:row>
      <xdr:rowOff>3361</xdr:rowOff>
    </xdr:from>
    <xdr:to>
      <xdr:col>9</xdr:col>
      <xdr:colOff>683559</xdr:colOff>
      <xdr:row>17</xdr:row>
      <xdr:rowOff>88206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4" y="384361"/>
          <a:ext cx="3092824" cy="29423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22225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85725</xdr:rowOff>
    </xdr:from>
    <xdr:to>
      <xdr:col>6</xdr:col>
      <xdr:colOff>440748</xdr:colOff>
      <xdr:row>4</xdr:row>
      <xdr:rowOff>133350</xdr:rowOff>
    </xdr:to>
    <xdr:pic>
      <xdr:nvPicPr>
        <xdr:cNvPr id="5" name="Imagem 4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6905625" cy="1114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71437</xdr:rowOff>
    </xdr:from>
    <xdr:to>
      <xdr:col>4</xdr:col>
      <xdr:colOff>2349500</xdr:colOff>
      <xdr:row>5</xdr:row>
      <xdr:rowOff>100012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261937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95212</xdr:colOff>
      <xdr:row>0</xdr:row>
      <xdr:rowOff>178595</xdr:rowOff>
    </xdr:from>
    <xdr:to>
      <xdr:col>9</xdr:col>
      <xdr:colOff>619087</xdr:colOff>
      <xdr:row>4</xdr:row>
      <xdr:rowOff>111920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00" y="178595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5</xdr:col>
      <xdr:colOff>1326497</xdr:colOff>
      <xdr:row>4</xdr:row>
      <xdr:rowOff>152400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8296275" cy="1114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0</xdr:row>
      <xdr:rowOff>161925</xdr:rowOff>
    </xdr:from>
    <xdr:to>
      <xdr:col>7</xdr:col>
      <xdr:colOff>340519</xdr:colOff>
      <xdr:row>4</xdr:row>
      <xdr:rowOff>209550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61925"/>
          <a:ext cx="9477375" cy="11144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228600</xdr:rowOff>
    </xdr:from>
    <xdr:to>
      <xdr:col>12</xdr:col>
      <xdr:colOff>191621</xdr:colOff>
      <xdr:row>4</xdr:row>
      <xdr:rowOff>104775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6" y="228600"/>
          <a:ext cx="8058150" cy="9429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250032</xdr:colOff>
      <xdr:row>0</xdr:row>
      <xdr:rowOff>148433</xdr:rowOff>
    </xdr:from>
    <xdr:to>
      <xdr:col>12</xdr:col>
      <xdr:colOff>563936</xdr:colOff>
      <xdr:row>4</xdr:row>
      <xdr:rowOff>95250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148433"/>
          <a:ext cx="7917656" cy="99456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180975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view="pageBreakPreview" zoomScale="90" zoomScaleSheetLayoutView="90" workbookViewId="0">
      <selection activeCell="O22" sqref="O22"/>
    </sheetView>
  </sheetViews>
  <sheetFormatPr defaultRowHeight="15" x14ac:dyDescent="0.25"/>
  <cols>
    <col min="1" max="9" width="9.140625" style="74"/>
    <col min="10" max="10" width="43.42578125" style="74" customWidth="1"/>
    <col min="11" max="16384" width="9.140625" style="74"/>
  </cols>
  <sheetData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showGridLines="0" view="pageBreakPreview" topLeftCell="A10" zoomScale="60" workbookViewId="0">
      <selection activeCell="J31" sqref="J31"/>
    </sheetView>
  </sheetViews>
  <sheetFormatPr defaultRowHeight="15" x14ac:dyDescent="0.25"/>
  <cols>
    <col min="1" max="1" width="9.140625" style="74"/>
    <col min="2" max="2" width="35.5703125" style="74" customWidth="1"/>
    <col min="3" max="3" width="23" style="74" customWidth="1"/>
    <col min="4" max="4" width="17.7109375" style="74" customWidth="1"/>
    <col min="5" max="5" width="18.42578125" style="74" customWidth="1"/>
    <col min="6" max="6" width="15.5703125" style="74" customWidth="1"/>
    <col min="7" max="7" width="13.140625" style="74" customWidth="1"/>
    <col min="8" max="8" width="10.7109375" style="74" customWidth="1"/>
    <col min="9" max="9" width="40.85546875" style="74" customWidth="1"/>
    <col min="10" max="10" width="34.140625" style="74" customWidth="1"/>
    <col min="11" max="11" width="16" style="74" customWidth="1"/>
    <col min="12" max="12" width="15.7109375" style="74" customWidth="1"/>
    <col min="13" max="13" width="17.42578125" style="74" customWidth="1"/>
    <col min="14" max="16384" width="9.140625" style="74"/>
  </cols>
  <sheetData>
    <row r="1" spans="1:13" s="75" customFormat="1" ht="21" x14ac:dyDescent="0.35">
      <c r="G1" s="76"/>
      <c r="H1" s="77"/>
    </row>
    <row r="2" spans="1:13" s="75" customFormat="1" ht="21" x14ac:dyDescent="0.35">
      <c r="G2" s="76"/>
      <c r="H2" s="77"/>
    </row>
    <row r="3" spans="1:13" s="75" customFormat="1" ht="21" x14ac:dyDescent="0.35">
      <c r="G3" s="76"/>
      <c r="H3" s="77"/>
    </row>
    <row r="4" spans="1:13" s="75" customFormat="1" ht="21" x14ac:dyDescent="0.35">
      <c r="G4" s="76"/>
      <c r="H4" s="77"/>
    </row>
    <row r="5" spans="1:13" s="75" customFormat="1" ht="21" x14ac:dyDescent="0.35">
      <c r="G5" s="76"/>
      <c r="H5" s="77"/>
    </row>
    <row r="6" spans="1:13" s="78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75"/>
      <c r="J6" s="75"/>
      <c r="K6" s="75"/>
      <c r="L6" s="75"/>
      <c r="M6" s="75"/>
    </row>
    <row r="7" spans="1:13" s="78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75"/>
      <c r="J7" s="75"/>
      <c r="K7" s="75"/>
      <c r="L7" s="75"/>
      <c r="M7" s="75"/>
    </row>
    <row r="8" spans="1:13" s="78" customFormat="1" ht="21" customHeight="1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  <c r="I8" s="75"/>
      <c r="J8" s="75"/>
      <c r="K8" s="75"/>
      <c r="L8" s="75"/>
      <c r="M8" s="75"/>
    </row>
    <row r="9" spans="1:13" s="78" customFormat="1" ht="21" customHeight="1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  <c r="I9" s="75"/>
      <c r="J9" s="75"/>
      <c r="K9" s="75"/>
      <c r="L9" s="75"/>
      <c r="M9" s="75"/>
    </row>
    <row r="10" spans="1:13" s="144" customFormat="1" ht="23.25" x14ac:dyDescent="0.35">
      <c r="A10" s="279" t="s">
        <v>163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</row>
    <row r="11" spans="1:13" ht="4.5" customHeight="1" thickBot="1" x14ac:dyDescent="0.35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</row>
    <row r="12" spans="1:13" s="148" customFormat="1" ht="69" customHeight="1" thickBot="1" x14ac:dyDescent="0.3">
      <c r="A12" s="314" t="s">
        <v>132</v>
      </c>
      <c r="B12" s="317" t="s">
        <v>133</v>
      </c>
      <c r="C12" s="318"/>
      <c r="D12" s="145" t="s">
        <v>134</v>
      </c>
      <c r="E12" s="145" t="s">
        <v>135</v>
      </c>
      <c r="F12" s="146" t="s">
        <v>136</v>
      </c>
      <c r="G12" s="147"/>
      <c r="H12" s="314" t="s">
        <v>132</v>
      </c>
      <c r="I12" s="317" t="s">
        <v>137</v>
      </c>
      <c r="J12" s="318"/>
      <c r="K12" s="145" t="s">
        <v>134</v>
      </c>
      <c r="L12" s="145" t="s">
        <v>138</v>
      </c>
      <c r="M12" s="146" t="s">
        <v>136</v>
      </c>
    </row>
    <row r="13" spans="1:13" s="148" customFormat="1" ht="37.9" customHeight="1" x14ac:dyDescent="0.25">
      <c r="A13" s="315"/>
      <c r="B13" s="319" t="s">
        <v>139</v>
      </c>
      <c r="C13" s="320"/>
      <c r="D13" s="197">
        <f>'Dem Fontes e Usos'!B14</f>
        <v>1042940</v>
      </c>
      <c r="E13" s="197">
        <f>'Dem Fontes e Usos'!C14</f>
        <v>359585.06</v>
      </c>
      <c r="F13" s="149">
        <f t="shared" ref="F13:F18" si="0">IFERROR(E13/D13*100,0)</f>
        <v>34.478019828561571</v>
      </c>
      <c r="G13" s="150"/>
      <c r="H13" s="315"/>
      <c r="I13" s="321" t="s">
        <v>140</v>
      </c>
      <c r="J13" s="322"/>
      <c r="K13" s="151">
        <v>550000</v>
      </c>
      <c r="L13" s="217">
        <v>129805.69</v>
      </c>
      <c r="M13" s="152">
        <f>IFERROR(L13/K13*100,0)</f>
        <v>23.601034545454546</v>
      </c>
    </row>
    <row r="14" spans="1:13" s="148" customFormat="1" ht="38.450000000000003" customHeight="1" x14ac:dyDescent="0.25">
      <c r="A14" s="315"/>
      <c r="B14" s="323" t="s">
        <v>141</v>
      </c>
      <c r="C14" s="324"/>
      <c r="D14" s="198">
        <f>'Dem Fontes e Usos'!B21</f>
        <v>82315</v>
      </c>
      <c r="E14" s="198">
        <f>'Dem Fontes e Usos'!C21</f>
        <v>13719.16</v>
      </c>
      <c r="F14" s="153">
        <f t="shared" si="0"/>
        <v>16.666658567697258</v>
      </c>
      <c r="G14" s="150"/>
      <c r="H14" s="315"/>
      <c r="I14" s="325" t="s">
        <v>142</v>
      </c>
      <c r="J14" s="326"/>
      <c r="K14" s="154">
        <v>0</v>
      </c>
      <c r="L14" s="154">
        <v>0</v>
      </c>
      <c r="M14" s="155">
        <f>IFERROR(L14/K14*100,0)</f>
        <v>0</v>
      </c>
    </row>
    <row r="15" spans="1:13" s="148" customFormat="1" ht="43.5" customHeight="1" thickBot="1" x14ac:dyDescent="0.3">
      <c r="A15" s="315"/>
      <c r="B15" s="327" t="s">
        <v>143</v>
      </c>
      <c r="C15" s="328"/>
      <c r="D15" s="208">
        <f>SUM(D13:D14)</f>
        <v>1125255</v>
      </c>
      <c r="E15" s="208">
        <f>SUM(E13:E14)</f>
        <v>373304.22</v>
      </c>
      <c r="F15" s="209">
        <f t="shared" si="0"/>
        <v>33.17507764906621</v>
      </c>
      <c r="G15" s="150"/>
      <c r="H15" s="316"/>
      <c r="I15" s="329" t="s">
        <v>144</v>
      </c>
      <c r="J15" s="330"/>
      <c r="K15" s="156">
        <f>'Dem Fontes e Usos'!B13</f>
        <v>1125255</v>
      </c>
      <c r="L15" s="156">
        <f>'Dem Fontes e Usos'!C13</f>
        <v>380574.87</v>
      </c>
      <c r="M15" s="157">
        <f>IFERROR(L15/K15*100,0)</f>
        <v>33.821211192129788</v>
      </c>
    </row>
    <row r="16" spans="1:13" s="148" customFormat="1" ht="28.5" customHeight="1" x14ac:dyDescent="0.25">
      <c r="A16" s="315"/>
      <c r="B16" s="323" t="s">
        <v>145</v>
      </c>
      <c r="C16" s="324"/>
      <c r="D16" s="198">
        <f>'Dem Fontes e Usos'!B36</f>
        <v>35884</v>
      </c>
      <c r="E16" s="198">
        <f>'Dem Fontes e Usos'!C36</f>
        <v>8970.99</v>
      </c>
      <c r="F16" s="153">
        <f t="shared" si="0"/>
        <v>24.999972132426706</v>
      </c>
      <c r="G16" s="150"/>
      <c r="H16" s="331"/>
      <c r="I16" s="331"/>
      <c r="J16" s="147"/>
      <c r="K16" s="158"/>
      <c r="L16" s="158"/>
      <c r="M16" s="159"/>
    </row>
    <row r="17" spans="1:13" s="148" customFormat="1" ht="33.75" customHeight="1" x14ac:dyDescent="0.25">
      <c r="A17" s="315"/>
      <c r="B17" s="323" t="s">
        <v>146</v>
      </c>
      <c r="C17" s="324"/>
      <c r="D17" s="198">
        <f>'Dem Fontes e Usos'!B37</f>
        <v>85725</v>
      </c>
      <c r="E17" s="198">
        <f>'Dem Fontes e Usos'!C37</f>
        <v>21431.22</v>
      </c>
      <c r="F17" s="153">
        <f t="shared" si="0"/>
        <v>24.999965004374456</v>
      </c>
      <c r="G17" s="150"/>
      <c r="H17" s="331"/>
      <c r="I17" s="331"/>
      <c r="J17" s="147"/>
      <c r="K17" s="159"/>
      <c r="L17" s="159"/>
      <c r="M17" s="159"/>
    </row>
    <row r="18" spans="1:13" s="148" customFormat="1" ht="30.75" customHeight="1" thickBot="1" x14ac:dyDescent="0.3">
      <c r="A18" s="316"/>
      <c r="B18" s="332" t="s">
        <v>147</v>
      </c>
      <c r="C18" s="333"/>
      <c r="D18" s="210">
        <f>D15-D16-D17</f>
        <v>1003646</v>
      </c>
      <c r="E18" s="210">
        <f>E15-E16-E17</f>
        <v>342902.01</v>
      </c>
      <c r="F18" s="211">
        <f t="shared" si="0"/>
        <v>34.165633101711165</v>
      </c>
      <c r="G18" s="160"/>
      <c r="H18" s="161"/>
      <c r="I18" s="161"/>
      <c r="J18" s="147"/>
      <c r="K18" s="159"/>
      <c r="L18" s="162"/>
      <c r="M18" s="159"/>
    </row>
    <row r="19" spans="1:13" s="170" customFormat="1" ht="16.5" thickBot="1" x14ac:dyDescent="0.3">
      <c r="A19" s="163"/>
      <c r="B19" s="164"/>
      <c r="C19" s="164"/>
      <c r="D19" s="165"/>
      <c r="E19" s="165"/>
      <c r="F19" s="166"/>
      <c r="G19" s="165"/>
      <c r="H19" s="167"/>
      <c r="I19" s="167"/>
      <c r="J19" s="168"/>
      <c r="K19" s="166"/>
      <c r="L19" s="169"/>
      <c r="M19" s="166"/>
    </row>
    <row r="20" spans="1:13" s="148" customFormat="1" ht="43.5" customHeight="1" thickBot="1" x14ac:dyDescent="0.3">
      <c r="A20" s="334" t="s">
        <v>148</v>
      </c>
      <c r="B20" s="336" t="s">
        <v>149</v>
      </c>
      <c r="C20" s="337"/>
      <c r="D20" s="171" t="s">
        <v>150</v>
      </c>
      <c r="E20" s="172" t="s">
        <v>151</v>
      </c>
      <c r="F20" s="172" t="s">
        <v>136</v>
      </c>
      <c r="G20" s="165"/>
      <c r="H20" s="336" t="s">
        <v>149</v>
      </c>
      <c r="I20" s="337"/>
      <c r="J20" s="338"/>
      <c r="K20" s="173" t="s">
        <v>152</v>
      </c>
      <c r="L20" s="171" t="s">
        <v>153</v>
      </c>
      <c r="M20" s="174" t="s">
        <v>136</v>
      </c>
    </row>
    <row r="21" spans="1:13" s="148" customFormat="1" ht="40.5" customHeight="1" x14ac:dyDescent="0.25">
      <c r="A21" s="334"/>
      <c r="B21" s="339" t="s">
        <v>154</v>
      </c>
      <c r="C21" s="175" t="s">
        <v>155</v>
      </c>
      <c r="D21" s="176">
        <f>'Exec Orçamentária'!D21</f>
        <v>245060</v>
      </c>
      <c r="E21" s="177">
        <f>'Exec Orçamentária'!F21</f>
        <v>51497.38</v>
      </c>
      <c r="F21" s="178">
        <f>IFERROR(E21/D21*100,0)</f>
        <v>21.014192442667103</v>
      </c>
      <c r="G21" s="165"/>
      <c r="H21" s="341" t="s">
        <v>165</v>
      </c>
      <c r="I21" s="342"/>
      <c r="J21" s="175" t="s">
        <v>155</v>
      </c>
      <c r="K21" s="180">
        <f>(K13-K14)</f>
        <v>550000</v>
      </c>
      <c r="L21" s="180">
        <f>(L13-L14)</f>
        <v>129805.69</v>
      </c>
      <c r="M21" s="178">
        <f>IFERROR(L21/K21*100,0)</f>
        <v>23.601034545454546</v>
      </c>
    </row>
    <row r="22" spans="1:13" s="148" customFormat="1" ht="36.6" customHeight="1" x14ac:dyDescent="0.25">
      <c r="A22" s="334"/>
      <c r="B22" s="340"/>
      <c r="C22" s="181" t="s">
        <v>156</v>
      </c>
      <c r="D22" s="182">
        <f>IFERROR(D21/D18,0)</f>
        <v>0.24416975706573832</v>
      </c>
      <c r="E22" s="182">
        <f>IFERROR(E21/E18,0)</f>
        <v>0.1501810386005028</v>
      </c>
      <c r="F22" s="183">
        <f>E22-D22</f>
        <v>-9.3988718465235516E-2</v>
      </c>
      <c r="G22" s="165"/>
      <c r="H22" s="343"/>
      <c r="I22" s="344"/>
      <c r="J22" s="184" t="s">
        <v>156</v>
      </c>
      <c r="K22" s="185">
        <f>IFERROR(K21/K15,)</f>
        <v>0.48877809918640663</v>
      </c>
      <c r="L22" s="185">
        <f>IFERROR(L21/L15,)</f>
        <v>0.34107793297019323</v>
      </c>
      <c r="M22" s="183">
        <f>L22-K22</f>
        <v>-0.1477001662162134</v>
      </c>
    </row>
    <row r="23" spans="1:13" s="148" customFormat="1" ht="28.5" customHeight="1" x14ac:dyDescent="0.25">
      <c r="A23" s="334"/>
      <c r="B23" s="340" t="s">
        <v>157</v>
      </c>
      <c r="C23" s="179" t="s">
        <v>155</v>
      </c>
      <c r="D23" s="186">
        <f>'Exec Orçamentária'!D19+'Exec Orçamentária'!D23</f>
        <v>232725</v>
      </c>
      <c r="E23" s="186">
        <f>'Exec Orçamentária'!F19+'Exec Orçamentária'!F23</f>
        <v>52764.3</v>
      </c>
      <c r="F23" s="178">
        <f>IFERROR(E23/D23*100,0)</f>
        <v>22.672381566226235</v>
      </c>
      <c r="G23" s="165"/>
      <c r="H23" s="348" t="s">
        <v>166</v>
      </c>
      <c r="I23" s="349"/>
      <c r="J23" s="179" t="s">
        <v>155</v>
      </c>
      <c r="K23" s="187">
        <f>'Exec Orçamentária'!D17</f>
        <v>11000</v>
      </c>
      <c r="L23" s="187">
        <f>'Exec Orçamentária'!F17</f>
        <v>0</v>
      </c>
      <c r="M23" s="188">
        <f>IFERROR(L23/K23*100,0)</f>
        <v>0</v>
      </c>
    </row>
    <row r="24" spans="1:13" s="148" customFormat="1" ht="32.450000000000003" customHeight="1" thickBot="1" x14ac:dyDescent="0.3">
      <c r="A24" s="334"/>
      <c r="B24" s="340"/>
      <c r="C24" s="184" t="s">
        <v>156</v>
      </c>
      <c r="D24" s="182">
        <f>IFERROR(D23/D18,0)</f>
        <v>0.23187956709835938</v>
      </c>
      <c r="E24" s="182">
        <f>IFERROR(E23/E18,0)</f>
        <v>0.15387573843617891</v>
      </c>
      <c r="F24" s="183">
        <f>E24-D24</f>
        <v>-7.8003828662180474E-2</v>
      </c>
      <c r="G24" s="165"/>
      <c r="H24" s="350"/>
      <c r="I24" s="351"/>
      <c r="J24" s="189" t="s">
        <v>156</v>
      </c>
      <c r="K24" s="190">
        <f>IFERROR(K23/K13,)</f>
        <v>0.02</v>
      </c>
      <c r="L24" s="190">
        <f>IFERROR(L23/L13,)</f>
        <v>0</v>
      </c>
      <c r="M24" s="191">
        <f>L24-K24</f>
        <v>-0.02</v>
      </c>
    </row>
    <row r="25" spans="1:13" s="148" customFormat="1" ht="28.5" customHeight="1" x14ac:dyDescent="0.25">
      <c r="A25" s="334"/>
      <c r="B25" s="340" t="s">
        <v>158</v>
      </c>
      <c r="C25" s="179" t="s">
        <v>155</v>
      </c>
      <c r="D25" s="246">
        <f>'Exec Orçamentária'!D18</f>
        <v>31000</v>
      </c>
      <c r="E25" s="187">
        <f>'Exec Orçamentária'!F18</f>
        <v>7500</v>
      </c>
      <c r="F25" s="178">
        <f>IFERROR(E25/D25*100,0)</f>
        <v>24.193548387096776</v>
      </c>
      <c r="G25" s="165"/>
    </row>
    <row r="26" spans="1:13" s="148" customFormat="1" ht="27.75" customHeight="1" x14ac:dyDescent="0.25">
      <c r="A26" s="334"/>
      <c r="B26" s="340"/>
      <c r="C26" s="184" t="s">
        <v>156</v>
      </c>
      <c r="D26" s="182">
        <f>IFERROR(D25/D18,0)</f>
        <v>3.0887384595763845E-2</v>
      </c>
      <c r="E26" s="182">
        <f>IFERROR(E25/E18,0)</f>
        <v>2.1872137757372727E-2</v>
      </c>
      <c r="F26" s="183">
        <f>E26-D26</f>
        <v>-9.015246838391118E-3</v>
      </c>
      <c r="G26" s="165"/>
    </row>
    <row r="27" spans="1:13" s="148" customFormat="1" ht="27" customHeight="1" x14ac:dyDescent="0.25">
      <c r="A27" s="334"/>
      <c r="B27" s="340" t="s">
        <v>159</v>
      </c>
      <c r="C27" s="179" t="s">
        <v>155</v>
      </c>
      <c r="D27" s="192">
        <v>0</v>
      </c>
      <c r="E27" s="186">
        <v>0</v>
      </c>
      <c r="F27" s="178">
        <f>IFERROR(E27/D27*100,0)</f>
        <v>0</v>
      </c>
      <c r="G27" s="345"/>
      <c r="H27" s="345"/>
      <c r="I27" s="345"/>
    </row>
    <row r="28" spans="1:13" s="148" customFormat="1" ht="31.5" customHeight="1" x14ac:dyDescent="0.25">
      <c r="A28" s="334"/>
      <c r="B28" s="340"/>
      <c r="C28" s="184" t="s">
        <v>156</v>
      </c>
      <c r="D28" s="182">
        <f>IFERROR(D27/D18,0)</f>
        <v>0</v>
      </c>
      <c r="E28" s="182">
        <f>IFERROR(E27/E18,0)</f>
        <v>0</v>
      </c>
      <c r="F28" s="183">
        <f>E28-D28</f>
        <v>0</v>
      </c>
      <c r="G28" s="165"/>
    </row>
    <row r="29" spans="1:13" s="148" customFormat="1" ht="23.25" customHeight="1" x14ac:dyDescent="0.25">
      <c r="A29" s="334"/>
      <c r="B29" s="340" t="s">
        <v>160</v>
      </c>
      <c r="C29" s="179" t="s">
        <v>155</v>
      </c>
      <c r="D29" s="186">
        <f>'Exec Orçamentária'!D12+'Exec Orçamentária'!D13+'Exec Orçamentária'!D14+'Exec Orçamentária'!D18</f>
        <v>74000</v>
      </c>
      <c r="E29" s="186">
        <f>'Exec Orçamentária'!F12+'Exec Orçamentária'!F13+'Exec Orçamentária'!F14+'Exec Orçamentária'!F18</f>
        <v>8250</v>
      </c>
      <c r="F29" s="178">
        <f>IFERROR(E29/D29*100,0)</f>
        <v>11.148648648648649</v>
      </c>
      <c r="G29" s="165"/>
    </row>
    <row r="30" spans="1:13" s="148" customFormat="1" ht="28.5" customHeight="1" x14ac:dyDescent="0.25">
      <c r="A30" s="334"/>
      <c r="B30" s="340"/>
      <c r="C30" s="184" t="s">
        <v>156</v>
      </c>
      <c r="D30" s="182">
        <f>IFERROR(D29/D18,0)</f>
        <v>7.3731176131823367E-2</v>
      </c>
      <c r="E30" s="182">
        <f>IFERROR(E29/E18,0)</f>
        <v>2.4059351533109997E-2</v>
      </c>
      <c r="F30" s="183">
        <f>E30-D30</f>
        <v>-4.9671824598713374E-2</v>
      </c>
      <c r="G30" s="165"/>
    </row>
    <row r="31" spans="1:13" s="148" customFormat="1" ht="24.75" customHeight="1" x14ac:dyDescent="0.25">
      <c r="A31" s="334"/>
      <c r="B31" s="346" t="s">
        <v>161</v>
      </c>
      <c r="C31" s="179" t="s">
        <v>155</v>
      </c>
      <c r="D31" s="186">
        <f>'Exec Orçamentária'!D25</f>
        <v>10650</v>
      </c>
      <c r="E31" s="186">
        <f>'Exec Orçamentária'!F25</f>
        <v>0</v>
      </c>
      <c r="F31" s="178">
        <f>IFERROR(E31/D31*100,0)</f>
        <v>0</v>
      </c>
      <c r="G31" s="165"/>
    </row>
    <row r="32" spans="1:13" s="148" customFormat="1" ht="31.5" customHeight="1" thickBot="1" x14ac:dyDescent="0.3">
      <c r="A32" s="335"/>
      <c r="B32" s="347"/>
      <c r="C32" s="189" t="s">
        <v>156</v>
      </c>
      <c r="D32" s="193">
        <f>IFERROR(D31/D18,0)</f>
        <v>1.0611311159512417E-2</v>
      </c>
      <c r="E32" s="193">
        <f>IFERROR(E31/E18,0)</f>
        <v>0</v>
      </c>
      <c r="F32" s="191">
        <f>E32-D32</f>
        <v>-1.0611311159512417E-2</v>
      </c>
      <c r="G32" s="165"/>
    </row>
    <row r="33" spans="2:2" x14ac:dyDescent="0.25">
      <c r="B33" s="194"/>
    </row>
  </sheetData>
  <mergeCells count="32">
    <mergeCell ref="A20:A32"/>
    <mergeCell ref="B20:C20"/>
    <mergeCell ref="H20:J20"/>
    <mergeCell ref="B21:B22"/>
    <mergeCell ref="H21:I22"/>
    <mergeCell ref="B27:B28"/>
    <mergeCell ref="G27:I27"/>
    <mergeCell ref="B29:B30"/>
    <mergeCell ref="B31:B32"/>
    <mergeCell ref="B23:B24"/>
    <mergeCell ref="H23:I24"/>
    <mergeCell ref="B25:B26"/>
    <mergeCell ref="A11:M11"/>
    <mergeCell ref="A12:A18"/>
    <mergeCell ref="B12:C12"/>
    <mergeCell ref="H12:H15"/>
    <mergeCell ref="I12:J12"/>
    <mergeCell ref="B13:C13"/>
    <mergeCell ref="I13:J13"/>
    <mergeCell ref="B14:C14"/>
    <mergeCell ref="I14:J14"/>
    <mergeCell ref="B15:C15"/>
    <mergeCell ref="I15:J15"/>
    <mergeCell ref="B16:C16"/>
    <mergeCell ref="H16:I17"/>
    <mergeCell ref="B17:C17"/>
    <mergeCell ref="B18:C18"/>
    <mergeCell ref="A6:H6"/>
    <mergeCell ref="A7:H7"/>
    <mergeCell ref="A8:H8"/>
    <mergeCell ref="A9:H9"/>
    <mergeCell ref="A10:M10"/>
  </mergeCells>
  <pageMargins left="0.511811024" right="0.511811024" top="0.78740157499999996" bottom="0.78740157499999996" header="0.31496062000000002" footer="0.31496062000000002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40"/>
  <sheetViews>
    <sheetView showGridLines="0" view="pageBreakPreview" zoomScaleNormal="100" zoomScaleSheetLayoutView="100" workbookViewId="0">
      <selection activeCell="C21" sqref="C21"/>
    </sheetView>
  </sheetViews>
  <sheetFormatPr defaultRowHeight="15" x14ac:dyDescent="0.25"/>
  <cols>
    <col min="1" max="1" width="49" style="12" bestFit="1" customWidth="1"/>
    <col min="2" max="2" width="10.85546875" style="12" bestFit="1" customWidth="1"/>
    <col min="3" max="3" width="12.85546875" style="12" bestFit="1" customWidth="1"/>
    <col min="4" max="4" width="9.140625" style="12" bestFit="1" customWidth="1"/>
    <col min="5" max="5" width="7.7109375" style="12" bestFit="1" customWidth="1"/>
    <col min="6" max="6" width="15.42578125" style="12" bestFit="1" customWidth="1"/>
    <col min="7" max="7" width="20.28515625" style="12" bestFit="1" customWidth="1"/>
    <col min="8" max="16384" width="9.140625" style="12"/>
  </cols>
  <sheetData>
    <row r="1" spans="1:7" s="75" customFormat="1" ht="21" x14ac:dyDescent="0.35">
      <c r="G1" s="76"/>
    </row>
    <row r="2" spans="1:7" s="75" customFormat="1" ht="21" x14ac:dyDescent="0.35">
      <c r="G2" s="76"/>
    </row>
    <row r="3" spans="1:7" s="75" customFormat="1" ht="21" x14ac:dyDescent="0.35">
      <c r="G3" s="76"/>
    </row>
    <row r="4" spans="1:7" s="75" customFormat="1" ht="21" x14ac:dyDescent="0.35">
      <c r="G4" s="76"/>
    </row>
    <row r="5" spans="1:7" s="75" customFormat="1" ht="21" x14ac:dyDescent="0.35">
      <c r="G5" s="76"/>
    </row>
    <row r="6" spans="1:7" s="78" customFormat="1" ht="21" x14ac:dyDescent="0.35">
      <c r="A6" s="277" t="s">
        <v>170</v>
      </c>
      <c r="B6" s="277"/>
      <c r="C6" s="277"/>
      <c r="D6" s="277"/>
      <c r="E6" s="277"/>
      <c r="F6" s="277"/>
      <c r="G6" s="277"/>
    </row>
    <row r="7" spans="1:7" s="78" customFormat="1" ht="21" x14ac:dyDescent="0.35">
      <c r="A7" s="278" t="s">
        <v>118</v>
      </c>
      <c r="B7" s="278"/>
      <c r="C7" s="278"/>
      <c r="D7" s="278"/>
      <c r="E7" s="278"/>
      <c r="F7" s="278"/>
      <c r="G7" s="278"/>
    </row>
    <row r="8" spans="1:7" s="78" customFormat="1" ht="21" x14ac:dyDescent="0.35">
      <c r="A8" s="278" t="s">
        <v>180</v>
      </c>
      <c r="B8" s="278"/>
      <c r="C8" s="278"/>
      <c r="D8" s="278"/>
      <c r="E8" s="278"/>
      <c r="F8" s="278"/>
      <c r="G8" s="278"/>
    </row>
    <row r="9" spans="1:7" s="78" customFormat="1" ht="21" x14ac:dyDescent="0.35">
      <c r="A9" s="278" t="s">
        <v>181</v>
      </c>
      <c r="B9" s="278"/>
      <c r="C9" s="278"/>
      <c r="D9" s="278"/>
      <c r="E9" s="278"/>
      <c r="F9" s="278"/>
      <c r="G9" s="278"/>
    </row>
    <row r="10" spans="1:7" s="78" customFormat="1" ht="21" customHeight="1" x14ac:dyDescent="0.35">
      <c r="A10" s="279" t="s">
        <v>119</v>
      </c>
      <c r="B10" s="279"/>
      <c r="C10" s="279"/>
      <c r="D10" s="279"/>
      <c r="E10" s="279"/>
      <c r="F10" s="279"/>
      <c r="G10" s="279"/>
    </row>
    <row r="11" spans="1:7" s="1" customFormat="1" ht="45" x14ac:dyDescent="0.25">
      <c r="A11" s="72" t="s">
        <v>12</v>
      </c>
      <c r="B11" s="72" t="s">
        <v>171</v>
      </c>
      <c r="C11" s="72" t="s">
        <v>172</v>
      </c>
      <c r="D11" s="72" t="s">
        <v>101</v>
      </c>
      <c r="E11" s="72" t="s">
        <v>100</v>
      </c>
      <c r="F11" s="72" t="s">
        <v>102</v>
      </c>
      <c r="G11" s="72" t="s">
        <v>179</v>
      </c>
    </row>
    <row r="12" spans="1:7" s="1" customFormat="1" x14ac:dyDescent="0.25">
      <c r="A12" s="274" t="s">
        <v>30</v>
      </c>
      <c r="B12" s="275"/>
      <c r="C12" s="275"/>
      <c r="D12" s="275"/>
      <c r="E12" s="275"/>
      <c r="F12" s="275"/>
      <c r="G12" s="276"/>
    </row>
    <row r="13" spans="1:7" s="1" customFormat="1" ht="24.95" customHeight="1" x14ac:dyDescent="0.25">
      <c r="A13" s="11" t="s">
        <v>20</v>
      </c>
      <c r="B13" s="13">
        <f>B14+B21+B22</f>
        <v>1125255</v>
      </c>
      <c r="C13" s="199">
        <f>C14+C21+C22</f>
        <v>380574.87</v>
      </c>
      <c r="D13" s="14">
        <f>C13/B13*100-100</f>
        <v>-66.178788807870205</v>
      </c>
      <c r="E13" s="14">
        <f>E14+E21+E22</f>
        <v>100</v>
      </c>
      <c r="F13" s="13">
        <f>F14+F21+F22</f>
        <v>744680.12999999989</v>
      </c>
      <c r="G13" s="243" t="s">
        <v>53</v>
      </c>
    </row>
    <row r="14" spans="1:7" s="8" customFormat="1" x14ac:dyDescent="0.25">
      <c r="A14" s="3" t="s">
        <v>13</v>
      </c>
      <c r="B14" s="9">
        <f>B15+B20</f>
        <v>1042940</v>
      </c>
      <c r="C14" s="200">
        <f>C15+C20</f>
        <v>359585.06</v>
      </c>
      <c r="D14" s="10">
        <f>C14/B14*100</f>
        <v>34.478019828561571</v>
      </c>
      <c r="E14" s="10">
        <f>E15+E20</f>
        <v>94.484709408164548</v>
      </c>
      <c r="F14" s="9">
        <f>F15+F20</f>
        <v>683354.94</v>
      </c>
      <c r="G14" s="244" t="s">
        <v>53</v>
      </c>
    </row>
    <row r="15" spans="1:7" s="8" customFormat="1" x14ac:dyDescent="0.25">
      <c r="A15" s="3" t="s">
        <v>14</v>
      </c>
      <c r="B15" s="9">
        <f>SUM(B16:B19)</f>
        <v>496628</v>
      </c>
      <c r="C15" s="200">
        <f>SUM(C16:C19)</f>
        <v>243503.03999999998</v>
      </c>
      <c r="D15" s="10">
        <f>C15/B15*100</f>
        <v>49.031274918047309</v>
      </c>
      <c r="E15" s="10">
        <f>SUM(E16:E19)</f>
        <v>63.982952946945758</v>
      </c>
      <c r="F15" s="9">
        <f>SUM(F16:F19)</f>
        <v>253124.96000000002</v>
      </c>
      <c r="G15" s="244" t="s">
        <v>53</v>
      </c>
    </row>
    <row r="16" spans="1:7" s="1" customFormat="1" x14ac:dyDescent="0.25">
      <c r="A16" s="47" t="s">
        <v>15</v>
      </c>
      <c r="B16" s="48">
        <v>430670</v>
      </c>
      <c r="C16" s="218">
        <v>215998.22</v>
      </c>
      <c r="D16" s="15">
        <f>C16/B16*100</f>
        <v>50.153997260083131</v>
      </c>
      <c r="E16" s="15">
        <f t="shared" ref="E16:E21" si="0">C16/$C$27*100</f>
        <v>56.75577580831861</v>
      </c>
      <c r="F16" s="5">
        <f t="shared" ref="F16:F21" si="1">B16-C16</f>
        <v>214671.78</v>
      </c>
      <c r="G16" s="244" t="s">
        <v>53</v>
      </c>
    </row>
    <row r="17" spans="1:7" s="1" customFormat="1" x14ac:dyDescent="0.25">
      <c r="A17" s="47" t="s">
        <v>16</v>
      </c>
      <c r="B17" s="48">
        <v>35581</v>
      </c>
      <c r="C17" s="219">
        <v>13974.05</v>
      </c>
      <c r="D17" s="15">
        <f>C17/B17*100</f>
        <v>39.273910232989515</v>
      </c>
      <c r="E17" s="15">
        <f t="shared" si="0"/>
        <v>3.6718267814162293</v>
      </c>
      <c r="F17" s="5">
        <f t="shared" si="1"/>
        <v>21606.95</v>
      </c>
      <c r="G17" s="244" t="s">
        <v>53</v>
      </c>
    </row>
    <row r="18" spans="1:7" s="1" customFormat="1" x14ac:dyDescent="0.25">
      <c r="A18" s="47" t="s">
        <v>17</v>
      </c>
      <c r="B18" s="48">
        <v>30377</v>
      </c>
      <c r="C18" s="201">
        <f>143.6+4267.54+5162.34+20.95+3936.34</f>
        <v>13530.77</v>
      </c>
      <c r="D18" s="15">
        <f>C18/B18*100</f>
        <v>44.542811995917965</v>
      </c>
      <c r="E18" s="15">
        <f t="shared" si="0"/>
        <v>3.5553503572109215</v>
      </c>
      <c r="F18" s="5">
        <f t="shared" si="1"/>
        <v>16846.23</v>
      </c>
      <c r="G18" s="244" t="s">
        <v>53</v>
      </c>
    </row>
    <row r="19" spans="1:7" s="1" customFormat="1" x14ac:dyDescent="0.25">
      <c r="A19" s="47" t="s">
        <v>65</v>
      </c>
      <c r="B19" s="48">
        <v>0</v>
      </c>
      <c r="C19" s="201"/>
      <c r="D19" s="15">
        <v>0</v>
      </c>
      <c r="E19" s="15">
        <f t="shared" si="0"/>
        <v>0</v>
      </c>
      <c r="F19" s="5">
        <f t="shared" si="1"/>
        <v>0</v>
      </c>
      <c r="G19" s="244" t="s">
        <v>53</v>
      </c>
    </row>
    <row r="20" spans="1:7" s="8" customFormat="1" x14ac:dyDescent="0.25">
      <c r="A20" s="49" t="s">
        <v>18</v>
      </c>
      <c r="B20" s="50">
        <v>546312</v>
      </c>
      <c r="C20" s="220">
        <v>116082.02</v>
      </c>
      <c r="D20" s="10">
        <f t="shared" ref="D20:D39" si="2">C20/B20*100</f>
        <v>21.248301336964957</v>
      </c>
      <c r="E20" s="10">
        <f t="shared" si="0"/>
        <v>30.501756461218786</v>
      </c>
      <c r="F20" s="9">
        <f t="shared" si="1"/>
        <v>430229.98</v>
      </c>
      <c r="G20" s="244" t="s">
        <v>53</v>
      </c>
    </row>
    <row r="21" spans="1:7" s="8" customFormat="1" x14ac:dyDescent="0.25">
      <c r="A21" s="49" t="s">
        <v>37</v>
      </c>
      <c r="B21" s="50">
        <v>82315</v>
      </c>
      <c r="C21" s="220">
        <v>13719.16</v>
      </c>
      <c r="D21" s="10">
        <f t="shared" si="2"/>
        <v>16.666658567697258</v>
      </c>
      <c r="E21" s="10">
        <f t="shared" si="0"/>
        <v>3.604851786456631</v>
      </c>
      <c r="F21" s="9">
        <f t="shared" si="1"/>
        <v>68595.839999999997</v>
      </c>
      <c r="G21" s="244" t="s">
        <v>53</v>
      </c>
    </row>
    <row r="22" spans="1:7" s="8" customFormat="1" x14ac:dyDescent="0.25">
      <c r="A22" s="49" t="s">
        <v>38</v>
      </c>
      <c r="B22" s="50">
        <f>B23+B24</f>
        <v>0</v>
      </c>
      <c r="C22" s="214">
        <f>C23+C24</f>
        <v>7270.65</v>
      </c>
      <c r="D22" s="10" t="e">
        <f t="shared" si="2"/>
        <v>#DIV/0!</v>
      </c>
      <c r="E22" s="10">
        <f>E23+E24</f>
        <v>1.9104388053788206</v>
      </c>
      <c r="F22" s="9">
        <f>F23+F24</f>
        <v>-7270.65</v>
      </c>
      <c r="G22" s="244" t="s">
        <v>53</v>
      </c>
    </row>
    <row r="23" spans="1:7" s="1" customFormat="1" x14ac:dyDescent="0.25">
      <c r="A23" s="47" t="s">
        <v>39</v>
      </c>
      <c r="B23" s="48">
        <v>0</v>
      </c>
      <c r="C23" s="218">
        <v>7270.65</v>
      </c>
      <c r="D23" s="15" t="e">
        <f t="shared" si="2"/>
        <v>#DIV/0!</v>
      </c>
      <c r="E23" s="15">
        <f>C23/$C$27*100</f>
        <v>1.9104388053788206</v>
      </c>
      <c r="F23" s="5">
        <f>B23-C23</f>
        <v>-7270.65</v>
      </c>
      <c r="G23" s="244"/>
    </row>
    <row r="24" spans="1:7" s="1" customFormat="1" x14ac:dyDescent="0.25">
      <c r="A24" s="47" t="s">
        <v>40</v>
      </c>
      <c r="B24" s="48">
        <v>0</v>
      </c>
      <c r="C24" s="218">
        <v>0</v>
      </c>
      <c r="D24" s="15" t="e">
        <f t="shared" si="2"/>
        <v>#DIV/0!</v>
      </c>
      <c r="E24" s="15">
        <f>C24/$C$27*100</f>
        <v>0</v>
      </c>
      <c r="F24" s="5">
        <f>B24-C24</f>
        <v>0</v>
      </c>
      <c r="G24" s="244" t="s">
        <v>53</v>
      </c>
    </row>
    <row r="25" spans="1:7" s="1" customFormat="1" x14ac:dyDescent="0.25">
      <c r="A25" s="11" t="s">
        <v>21</v>
      </c>
      <c r="B25" s="13">
        <f>B26</f>
        <v>50000</v>
      </c>
      <c r="C25" s="199">
        <f>C26</f>
        <v>0</v>
      </c>
      <c r="D25" s="14">
        <f t="shared" si="2"/>
        <v>0</v>
      </c>
      <c r="E25" s="14">
        <f>E26</f>
        <v>0</v>
      </c>
      <c r="F25" s="13">
        <f>F26</f>
        <v>50000</v>
      </c>
      <c r="G25" s="243" t="s">
        <v>53</v>
      </c>
    </row>
    <row r="26" spans="1:7" s="1" customFormat="1" x14ac:dyDescent="0.25">
      <c r="A26" s="47" t="s">
        <v>19</v>
      </c>
      <c r="B26" s="48">
        <v>50000</v>
      </c>
      <c r="C26" s="201">
        <v>0</v>
      </c>
      <c r="D26" s="15">
        <f t="shared" si="2"/>
        <v>0</v>
      </c>
      <c r="E26" s="15">
        <f>C26/$C$27*100</f>
        <v>0</v>
      </c>
      <c r="F26" s="5">
        <f>B26-C26</f>
        <v>50000</v>
      </c>
      <c r="G26" s="244"/>
    </row>
    <row r="27" spans="1:7" s="1" customFormat="1" x14ac:dyDescent="0.25">
      <c r="A27" s="16" t="s">
        <v>22</v>
      </c>
      <c r="B27" s="17">
        <f>B13+B25</f>
        <v>1175255</v>
      </c>
      <c r="C27" s="202">
        <f>C13+C25</f>
        <v>380574.87</v>
      </c>
      <c r="D27" s="18">
        <f t="shared" si="2"/>
        <v>32.382322985224484</v>
      </c>
      <c r="E27" s="18">
        <f>E13+E25</f>
        <v>100</v>
      </c>
      <c r="F27" s="17">
        <f>F13+F25</f>
        <v>794680.12999999989</v>
      </c>
      <c r="G27" s="245" t="s">
        <v>53</v>
      </c>
    </row>
    <row r="28" spans="1:7" s="1" customFormat="1" x14ac:dyDescent="0.25">
      <c r="A28" s="274" t="s">
        <v>31</v>
      </c>
      <c r="B28" s="275"/>
      <c r="C28" s="275"/>
      <c r="D28" s="275"/>
      <c r="E28" s="275"/>
      <c r="F28" s="275"/>
      <c r="G28" s="276"/>
    </row>
    <row r="29" spans="1:7" s="1" customFormat="1" ht="24.95" customHeight="1" x14ac:dyDescent="0.25">
      <c r="A29" s="221" t="s">
        <v>23</v>
      </c>
      <c r="B29" s="222">
        <f>B30+B33</f>
        <v>1042996</v>
      </c>
      <c r="C29" s="222">
        <f>C30+C33</f>
        <v>199667.72999999998</v>
      </c>
      <c r="D29" s="223">
        <f t="shared" si="2"/>
        <v>19.143671691933619</v>
      </c>
      <c r="E29" s="223">
        <f>E30+E33</f>
        <v>86.785666132655138</v>
      </c>
      <c r="F29" s="222">
        <f>F30+F33</f>
        <v>843328.27</v>
      </c>
      <c r="G29" s="241" t="s">
        <v>53</v>
      </c>
    </row>
    <row r="30" spans="1:7" s="8" customFormat="1" x14ac:dyDescent="0.25">
      <c r="A30" s="227" t="s">
        <v>26</v>
      </c>
      <c r="B30" s="228">
        <f>SUM(B31:B32)</f>
        <v>992996</v>
      </c>
      <c r="C30" s="228">
        <f>SUM(C31:C32)</f>
        <v>199667.72999999998</v>
      </c>
      <c r="D30" s="229">
        <f t="shared" si="2"/>
        <v>20.107606677166874</v>
      </c>
      <c r="E30" s="229">
        <f>SUM(E31:E32)</f>
        <v>86.785666132655138</v>
      </c>
      <c r="F30" s="228">
        <f>SUM(F31:F32)</f>
        <v>793328.27</v>
      </c>
      <c r="G30" s="240" t="s">
        <v>53</v>
      </c>
    </row>
    <row r="31" spans="1:7" s="1" customFormat="1" x14ac:dyDescent="0.25">
      <c r="A31" s="234" t="s">
        <v>24</v>
      </c>
      <c r="B31" s="235">
        <f>'Exec Orçamentária'!D12+'Exec Orçamentária'!D13+'Exec Orçamentária'!D14+'Exec Orçamentária'!D15+'Exec Orçamentária'!D16+'Exec Orçamentária'!D26</f>
        <v>81036</v>
      </c>
      <c r="C31" s="235">
        <f>'Exec Orçamentária'!F12+'Exec Orçamentária'!F13+'Exec Orçamentária'!F14+'Exec Orçamentária'!F15+'Exec Orçamentária'!F16+'Exec Orçamentária'!F26</f>
        <v>750</v>
      </c>
      <c r="D31" s="236">
        <f t="shared" si="2"/>
        <v>0.92551458610987714</v>
      </c>
      <c r="E31" s="236">
        <f>C31/$C$39*100</f>
        <v>0.3259878278752974</v>
      </c>
      <c r="F31" s="237">
        <f>B31-C31</f>
        <v>80286</v>
      </c>
      <c r="G31" s="240" t="s">
        <v>53</v>
      </c>
    </row>
    <row r="32" spans="1:7" s="1" customFormat="1" x14ac:dyDescent="0.25">
      <c r="A32" s="234" t="s">
        <v>25</v>
      </c>
      <c r="B32" s="235">
        <f>'Exec Orçamentária'!D17+'Exec Orçamentária'!D18+'Exec Orçamentária'!D19+'Exec Orçamentária'!D20+'Exec Orçamentária'!D21+'Exec Orçamentária'!D22</f>
        <v>911960</v>
      </c>
      <c r="C32" s="235">
        <f>'Exec Orçamentária'!F17+'Exec Orçamentária'!F18+'Exec Orçamentária'!F19+'Exec Orçamentária'!F20+'Exec Orçamentária'!F21+'Exec Orçamentária'!F22</f>
        <v>198917.72999999998</v>
      </c>
      <c r="D32" s="236">
        <f t="shared" si="2"/>
        <v>21.812111276810384</v>
      </c>
      <c r="E32" s="236">
        <f>C32/$C$39*100</f>
        <v>86.459678304779843</v>
      </c>
      <c r="F32" s="237">
        <f>B32-C32</f>
        <v>713042.27</v>
      </c>
      <c r="G32" s="240" t="s">
        <v>53</v>
      </c>
    </row>
    <row r="33" spans="1:7" s="8" customFormat="1" x14ac:dyDescent="0.25">
      <c r="A33" s="238" t="s">
        <v>27</v>
      </c>
      <c r="B33" s="239">
        <f>SUM(B34:B35)</f>
        <v>50000</v>
      </c>
      <c r="C33" s="239">
        <f>SUM(C34:C35)</f>
        <v>0</v>
      </c>
      <c r="D33" s="229">
        <f t="shared" si="2"/>
        <v>0</v>
      </c>
      <c r="E33" s="229">
        <f>SUM(E34:E35)</f>
        <v>0</v>
      </c>
      <c r="F33" s="228">
        <f>SUM(F34:F35)</f>
        <v>50000</v>
      </c>
      <c r="G33" s="240" t="s">
        <v>53</v>
      </c>
    </row>
    <row r="34" spans="1:7" s="1" customFormat="1" x14ac:dyDescent="0.25">
      <c r="A34" s="234" t="s">
        <v>24</v>
      </c>
      <c r="B34" s="235">
        <f>'Exec Orçamentária'!D28</f>
        <v>50000</v>
      </c>
      <c r="C34" s="235">
        <f>'Exec Orçamentária'!F28</f>
        <v>0</v>
      </c>
      <c r="D34" s="236">
        <f t="shared" si="2"/>
        <v>0</v>
      </c>
      <c r="E34" s="236">
        <f>C34/$C$39*100</f>
        <v>0</v>
      </c>
      <c r="F34" s="237">
        <f>B34-C34</f>
        <v>50000</v>
      </c>
      <c r="G34" s="240"/>
    </row>
    <row r="35" spans="1:7" s="1" customFormat="1" x14ac:dyDescent="0.25">
      <c r="A35" s="234" t="s">
        <v>25</v>
      </c>
      <c r="B35" s="235">
        <v>0</v>
      </c>
      <c r="C35" s="235">
        <v>0</v>
      </c>
      <c r="D35" s="236">
        <v>0</v>
      </c>
      <c r="E35" s="236">
        <f>C35/$C$39*100</f>
        <v>0</v>
      </c>
      <c r="F35" s="237">
        <f>B35-C35</f>
        <v>0</v>
      </c>
      <c r="G35" s="240" t="s">
        <v>64</v>
      </c>
    </row>
    <row r="36" spans="1:7" s="1" customFormat="1" x14ac:dyDescent="0.25">
      <c r="A36" s="221" t="s">
        <v>28</v>
      </c>
      <c r="B36" s="222">
        <f>'Exec Orçamentária'!D24</f>
        <v>35884</v>
      </c>
      <c r="C36" s="222">
        <f>'Exec Orçamentária'!F24</f>
        <v>8970.99</v>
      </c>
      <c r="D36" s="223">
        <v>0</v>
      </c>
      <c r="E36" s="223">
        <f>C36/$C$39*100</f>
        <v>3.8992447253213527</v>
      </c>
      <c r="F36" s="222">
        <f>B36-C36</f>
        <v>26913.010000000002</v>
      </c>
      <c r="G36" s="241" t="s">
        <v>64</v>
      </c>
    </row>
    <row r="37" spans="1:7" s="1" customFormat="1" x14ac:dyDescent="0.25">
      <c r="A37" s="221" t="s">
        <v>63</v>
      </c>
      <c r="B37" s="222">
        <f>'Exec Orçamentária'!D23</f>
        <v>85725</v>
      </c>
      <c r="C37" s="222">
        <f>'Exec Orçamentária'!F23</f>
        <v>21431.22</v>
      </c>
      <c r="D37" s="223">
        <v>1</v>
      </c>
      <c r="E37" s="223">
        <f>C37/$C$39*100</f>
        <v>9.3150891420235098</v>
      </c>
      <c r="F37" s="222">
        <f>B37-C37</f>
        <v>64293.78</v>
      </c>
      <c r="G37" s="241" t="s">
        <v>64</v>
      </c>
    </row>
    <row r="38" spans="1:7" s="1" customFormat="1" x14ac:dyDescent="0.25">
      <c r="A38" s="221" t="s">
        <v>66</v>
      </c>
      <c r="B38" s="222">
        <f>'Exec Orçamentária'!D25</f>
        <v>10650</v>
      </c>
      <c r="C38" s="222">
        <f>'Exec Orçamentária'!F25</f>
        <v>0</v>
      </c>
      <c r="D38" s="223">
        <v>1</v>
      </c>
      <c r="E38" s="223">
        <f>C38/$C$39*100</f>
        <v>0</v>
      </c>
      <c r="F38" s="222">
        <f>B38-C38</f>
        <v>10650</v>
      </c>
      <c r="G38" s="241" t="s">
        <v>64</v>
      </c>
    </row>
    <row r="39" spans="1:7" s="1" customFormat="1" x14ac:dyDescent="0.25">
      <c r="A39" s="224" t="s">
        <v>29</v>
      </c>
      <c r="B39" s="225">
        <f>B29+B36+B37+B38</f>
        <v>1175255</v>
      </c>
      <c r="C39" s="225">
        <f>C29+C36+C37+C38</f>
        <v>230069.93999999997</v>
      </c>
      <c r="D39" s="226">
        <f t="shared" si="2"/>
        <v>19.576171979698021</v>
      </c>
      <c r="E39" s="226">
        <f>E29+E36</f>
        <v>90.68491085797649</v>
      </c>
      <c r="F39" s="225">
        <f>F29+F36</f>
        <v>870241.28000000003</v>
      </c>
      <c r="G39" s="242" t="s">
        <v>53</v>
      </c>
    </row>
    <row r="40" spans="1:7" s="8" customFormat="1" x14ac:dyDescent="0.25">
      <c r="A40" s="227" t="s">
        <v>32</v>
      </c>
      <c r="B40" s="228">
        <f>B27-B39</f>
        <v>0</v>
      </c>
      <c r="C40" s="228">
        <f>C27-C39</f>
        <v>150504.93000000002</v>
      </c>
      <c r="D40" s="229"/>
      <c r="E40" s="229"/>
      <c r="F40" s="228">
        <f>F27-F39</f>
        <v>-75561.15000000014</v>
      </c>
      <c r="G40" s="240"/>
    </row>
  </sheetData>
  <mergeCells count="7">
    <mergeCell ref="A28:G28"/>
    <mergeCell ref="A12:G12"/>
    <mergeCell ref="A6:G6"/>
    <mergeCell ref="A7:G7"/>
    <mergeCell ref="A8:G8"/>
    <mergeCell ref="A9:G9"/>
    <mergeCell ref="A10:G10"/>
  </mergeCells>
  <pageMargins left="0.51181102362204722" right="0.51181102362204722" top="0.39370078740157483" bottom="0.39370078740157483" header="0.31496062992125984" footer="0.31496062992125984"/>
  <pageSetup paperSize="9" scale="7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3"/>
  <sheetViews>
    <sheetView view="pageBreakPreview" zoomScale="90" zoomScaleSheetLayoutView="90" workbookViewId="0">
      <pane ySplit="17" topLeftCell="A18" activePane="bottomLeft" state="frozen"/>
      <selection activeCell="M5" sqref="M5"/>
      <selection pane="bottomLeft" activeCell="M5" sqref="M5"/>
    </sheetView>
  </sheetViews>
  <sheetFormatPr defaultRowHeight="12.75" x14ac:dyDescent="0.25"/>
  <cols>
    <col min="1" max="1" width="37.140625" style="37" customWidth="1"/>
    <col min="2" max="3" width="4.42578125" style="37" customWidth="1"/>
    <col min="4" max="4" width="21.7109375" style="37" customWidth="1"/>
    <col min="5" max="5" width="37.140625" style="37" customWidth="1"/>
    <col min="6" max="6" width="29.28515625" style="37" customWidth="1"/>
    <col min="7" max="7" width="50.85546875" style="37" customWidth="1"/>
    <col min="8" max="9" width="37.7109375" style="37" customWidth="1"/>
    <col min="10" max="16384" width="9.140625" style="37"/>
  </cols>
  <sheetData>
    <row r="7" spans="1:9" x14ac:dyDescent="0.25">
      <c r="A7" s="282" t="s">
        <v>60</v>
      </c>
      <c r="B7" s="282"/>
      <c r="C7" s="282"/>
      <c r="D7" s="282"/>
      <c r="E7" s="282"/>
      <c r="F7" s="282"/>
      <c r="G7" s="282"/>
      <c r="H7" s="282"/>
      <c r="I7" s="282"/>
    </row>
    <row r="8" spans="1:9" x14ac:dyDescent="0.25">
      <c r="A8" s="38" t="s">
        <v>61</v>
      </c>
    </row>
    <row r="10" spans="1:9" x14ac:dyDescent="0.25">
      <c r="A10" s="281" t="s">
        <v>86</v>
      </c>
      <c r="B10" s="281"/>
      <c r="C10" s="281"/>
      <c r="D10" s="281"/>
    </row>
    <row r="12" spans="1:9" x14ac:dyDescent="0.25">
      <c r="A12" s="37" t="s">
        <v>45</v>
      </c>
      <c r="B12" s="281"/>
      <c r="C12" s="281"/>
      <c r="D12" s="281"/>
    </row>
    <row r="13" spans="1:9" x14ac:dyDescent="0.25">
      <c r="A13" s="37" t="s">
        <v>46</v>
      </c>
      <c r="B13" s="283"/>
      <c r="C13" s="283"/>
      <c r="D13" s="283"/>
    </row>
    <row r="15" spans="1:9" x14ac:dyDescent="0.25">
      <c r="A15" s="289" t="s">
        <v>57</v>
      </c>
      <c r="B15" s="289"/>
      <c r="C15" s="289"/>
      <c r="D15" s="289"/>
      <c r="E15" s="289"/>
      <c r="F15" s="289"/>
      <c r="G15" s="289"/>
      <c r="H15" s="289"/>
      <c r="I15" s="289"/>
    </row>
    <row r="16" spans="1:9" ht="18" customHeight="1" x14ac:dyDescent="0.25">
      <c r="A16" s="284" t="s">
        <v>56</v>
      </c>
      <c r="B16" s="286" t="s">
        <v>1</v>
      </c>
      <c r="C16" s="287"/>
      <c r="D16" s="288"/>
      <c r="E16" s="286" t="s">
        <v>5</v>
      </c>
      <c r="F16" s="288"/>
      <c r="G16" s="286" t="s">
        <v>6</v>
      </c>
      <c r="H16" s="288"/>
      <c r="I16" s="284" t="s">
        <v>41</v>
      </c>
    </row>
    <row r="17" spans="1:9" ht="59.25" customHeight="1" x14ac:dyDescent="0.25">
      <c r="A17" s="285"/>
      <c r="B17" s="61" t="s">
        <v>2</v>
      </c>
      <c r="C17" s="61" t="s">
        <v>42</v>
      </c>
      <c r="D17" s="61" t="s">
        <v>3</v>
      </c>
      <c r="E17" s="61" t="s">
        <v>4</v>
      </c>
      <c r="F17" s="61" t="s">
        <v>7</v>
      </c>
      <c r="G17" s="61" t="s">
        <v>8</v>
      </c>
      <c r="H17" s="61" t="s">
        <v>9</v>
      </c>
      <c r="I17" s="285"/>
    </row>
    <row r="18" spans="1:9" ht="15.75" x14ac:dyDescent="0.25">
      <c r="A18" s="63" t="s">
        <v>67</v>
      </c>
      <c r="B18" s="64" t="s">
        <v>43</v>
      </c>
      <c r="C18" s="39"/>
      <c r="D18" s="62" t="s">
        <v>70</v>
      </c>
      <c r="E18" s="57"/>
      <c r="F18" s="41"/>
      <c r="G18" s="60"/>
      <c r="H18" s="42"/>
      <c r="I18" s="41"/>
    </row>
    <row r="19" spans="1:9" ht="15.75" x14ac:dyDescent="0.25">
      <c r="A19" s="63" t="s">
        <v>67</v>
      </c>
      <c r="B19" s="64" t="s">
        <v>43</v>
      </c>
      <c r="C19" s="39"/>
      <c r="D19" s="62" t="s">
        <v>71</v>
      </c>
      <c r="E19" s="40"/>
      <c r="F19" s="41"/>
      <c r="G19" s="42"/>
      <c r="H19" s="42"/>
      <c r="I19" s="58"/>
    </row>
    <row r="20" spans="1:9" ht="31.5" x14ac:dyDescent="0.2">
      <c r="A20" s="63" t="s">
        <v>67</v>
      </c>
      <c r="B20" s="64" t="s">
        <v>43</v>
      </c>
      <c r="C20" s="39"/>
      <c r="D20" s="62" t="s">
        <v>88</v>
      </c>
      <c r="E20" s="58"/>
      <c r="F20" s="41"/>
      <c r="G20" s="41"/>
      <c r="H20" s="41"/>
      <c r="I20" s="59"/>
    </row>
    <row r="21" spans="1:9" ht="31.5" x14ac:dyDescent="0.2">
      <c r="A21" s="63" t="s">
        <v>68</v>
      </c>
      <c r="B21" s="64" t="s">
        <v>43</v>
      </c>
      <c r="C21" s="39"/>
      <c r="D21" s="62" t="s">
        <v>89</v>
      </c>
      <c r="E21" s="58"/>
      <c r="F21" s="41"/>
      <c r="G21" s="41"/>
      <c r="H21" s="42"/>
      <c r="I21" s="59"/>
    </row>
    <row r="22" spans="1:9" ht="15.75" x14ac:dyDescent="0.2">
      <c r="A22" s="63" t="s">
        <v>68</v>
      </c>
      <c r="B22" s="64" t="s">
        <v>43</v>
      </c>
      <c r="C22" s="39"/>
      <c r="D22" s="62" t="s">
        <v>90</v>
      </c>
      <c r="E22" s="58"/>
      <c r="F22" s="41"/>
      <c r="G22" s="41"/>
      <c r="H22" s="41"/>
      <c r="I22" s="59"/>
    </row>
    <row r="23" spans="1:9" ht="31.5" x14ac:dyDescent="0.2">
      <c r="A23" s="63" t="s">
        <v>68</v>
      </c>
      <c r="B23" s="64" t="s">
        <v>43</v>
      </c>
      <c r="C23" s="39"/>
      <c r="D23" s="62" t="s">
        <v>91</v>
      </c>
      <c r="E23" s="58"/>
      <c r="F23" s="43"/>
      <c r="G23" s="41"/>
      <c r="H23" s="40"/>
      <c r="I23" s="59"/>
    </row>
    <row r="24" spans="1:9" ht="15.75" x14ac:dyDescent="0.2">
      <c r="A24" s="63" t="s">
        <v>69</v>
      </c>
      <c r="B24" s="64" t="s">
        <v>44</v>
      </c>
      <c r="C24" s="39"/>
      <c r="D24" s="62" t="s">
        <v>73</v>
      </c>
      <c r="E24" s="58"/>
      <c r="F24" s="41"/>
      <c r="G24" s="41"/>
      <c r="H24" s="41"/>
      <c r="I24" s="59"/>
    </row>
    <row r="25" spans="1:9" ht="31.5" x14ac:dyDescent="0.2">
      <c r="A25" s="63" t="s">
        <v>69</v>
      </c>
      <c r="B25" s="64" t="s">
        <v>43</v>
      </c>
      <c r="C25" s="39"/>
      <c r="D25" s="62" t="s">
        <v>74</v>
      </c>
      <c r="E25" s="58"/>
      <c r="F25" s="41"/>
      <c r="G25" s="41"/>
      <c r="H25" s="41"/>
      <c r="I25" s="59"/>
    </row>
    <row r="26" spans="1:9" ht="15.75" x14ac:dyDescent="0.2">
      <c r="A26" s="63" t="s">
        <v>69</v>
      </c>
      <c r="B26" s="64" t="s">
        <v>43</v>
      </c>
      <c r="C26" s="39"/>
      <c r="D26" s="62" t="s">
        <v>75</v>
      </c>
      <c r="E26" s="58"/>
      <c r="F26" s="41"/>
      <c r="G26" s="41"/>
      <c r="H26" s="41"/>
      <c r="I26" s="59"/>
    </row>
    <row r="27" spans="1:9" ht="15.75" x14ac:dyDescent="0.2">
      <c r="A27" s="63" t="s">
        <v>69</v>
      </c>
      <c r="B27" s="64" t="s">
        <v>44</v>
      </c>
      <c r="C27" s="39"/>
      <c r="D27" s="62" t="s">
        <v>92</v>
      </c>
      <c r="E27" s="58"/>
      <c r="F27" s="41"/>
      <c r="G27" s="41"/>
      <c r="H27" s="41"/>
      <c r="I27" s="59"/>
    </row>
    <row r="28" spans="1:9" ht="63" x14ac:dyDescent="0.2">
      <c r="A28" s="63" t="s">
        <v>69</v>
      </c>
      <c r="B28" s="64" t="s">
        <v>44</v>
      </c>
      <c r="C28" s="39"/>
      <c r="D28" s="62" t="s">
        <v>93</v>
      </c>
      <c r="E28" s="58"/>
      <c r="F28" s="41"/>
      <c r="G28" s="41"/>
      <c r="H28" s="41"/>
      <c r="I28" s="59"/>
    </row>
    <row r="29" spans="1:9" ht="31.5" x14ac:dyDescent="0.2">
      <c r="A29" s="63" t="s">
        <v>69</v>
      </c>
      <c r="B29" s="64" t="s">
        <v>44</v>
      </c>
      <c r="C29" s="39"/>
      <c r="D29" s="62" t="s">
        <v>76</v>
      </c>
      <c r="E29" s="58"/>
      <c r="F29" s="41"/>
      <c r="G29" s="41"/>
      <c r="H29" s="41"/>
      <c r="I29" s="59"/>
    </row>
    <row r="30" spans="1:9" ht="63" x14ac:dyDescent="0.2">
      <c r="A30" s="63" t="s">
        <v>69</v>
      </c>
      <c r="B30" s="64" t="s">
        <v>44</v>
      </c>
      <c r="C30" s="39"/>
      <c r="D30" s="62" t="s">
        <v>72</v>
      </c>
      <c r="E30" s="58"/>
      <c r="F30" s="41"/>
      <c r="G30" s="41"/>
      <c r="H30" s="41"/>
      <c r="I30" s="59"/>
    </row>
    <row r="31" spans="1:9" ht="47.25" x14ac:dyDescent="0.2">
      <c r="A31" s="63" t="s">
        <v>69</v>
      </c>
      <c r="B31" s="64" t="s">
        <v>44</v>
      </c>
      <c r="C31" s="39"/>
      <c r="D31" s="62" t="s">
        <v>78</v>
      </c>
      <c r="E31" s="58"/>
      <c r="F31" s="41"/>
      <c r="G31" s="41"/>
      <c r="H31" s="41"/>
      <c r="I31" s="59"/>
    </row>
    <row r="32" spans="1:9" ht="63" x14ac:dyDescent="0.2">
      <c r="A32" s="63" t="s">
        <v>69</v>
      </c>
      <c r="B32" s="64" t="s">
        <v>44</v>
      </c>
      <c r="C32" s="39"/>
      <c r="D32" s="62" t="s">
        <v>79</v>
      </c>
      <c r="E32" s="58"/>
      <c r="F32" s="41"/>
      <c r="G32" s="41"/>
      <c r="H32" s="41"/>
      <c r="I32" s="59"/>
    </row>
    <row r="33" spans="1:9" ht="31.5" x14ac:dyDescent="0.2">
      <c r="A33" s="63" t="s">
        <v>69</v>
      </c>
      <c r="B33" s="64" t="s">
        <v>44</v>
      </c>
      <c r="C33" s="39"/>
      <c r="D33" s="62" t="s">
        <v>80</v>
      </c>
      <c r="E33" s="58"/>
      <c r="F33" s="41"/>
      <c r="G33" s="41"/>
      <c r="H33" s="41"/>
      <c r="I33" s="59"/>
    </row>
    <row r="34" spans="1:9" ht="47.25" x14ac:dyDescent="0.2">
      <c r="A34" s="63" t="s">
        <v>95</v>
      </c>
      <c r="B34" s="64" t="s">
        <v>43</v>
      </c>
      <c r="C34" s="39"/>
      <c r="D34" s="62" t="s">
        <v>94</v>
      </c>
      <c r="E34" s="40"/>
      <c r="F34" s="44"/>
      <c r="G34" s="45"/>
      <c r="H34" s="45"/>
      <c r="I34" s="59"/>
    </row>
    <row r="35" spans="1:9" ht="31.5" x14ac:dyDescent="0.2">
      <c r="A35" s="63" t="s">
        <v>69</v>
      </c>
      <c r="B35" s="64" t="s">
        <v>43</v>
      </c>
      <c r="C35" s="39"/>
      <c r="D35" s="62" t="s">
        <v>77</v>
      </c>
      <c r="E35" s="40"/>
      <c r="F35" s="41"/>
      <c r="G35" s="41"/>
      <c r="H35" s="41"/>
      <c r="I35" s="59"/>
    </row>
    <row r="36" spans="1:9" ht="23.25" customHeight="1" x14ac:dyDescent="0.25">
      <c r="A36" s="280" t="s">
        <v>62</v>
      </c>
      <c r="B36" s="280"/>
      <c r="C36" s="280"/>
      <c r="D36" s="280"/>
      <c r="E36" s="280"/>
      <c r="F36" s="280"/>
      <c r="G36" s="280"/>
      <c r="H36" s="280"/>
      <c r="I36" s="280"/>
    </row>
    <row r="38" spans="1:9" ht="23.25" customHeight="1" x14ac:dyDescent="0.25"/>
    <row r="39" spans="1:9" ht="94.5" customHeight="1" x14ac:dyDescent="0.25"/>
    <row r="40" spans="1:9" ht="15" customHeight="1" x14ac:dyDescent="0.25"/>
    <row r="41" spans="1:9" ht="23.25" customHeight="1" x14ac:dyDescent="0.25"/>
    <row r="42" spans="1:9" ht="20.100000000000001" customHeight="1" x14ac:dyDescent="0.25"/>
    <row r="43" spans="1:9" ht="20.100000000000001" customHeight="1" x14ac:dyDescent="0.25"/>
  </sheetData>
  <mergeCells count="11">
    <mergeCell ref="A36:I36"/>
    <mergeCell ref="A10:D10"/>
    <mergeCell ref="A7:I7"/>
    <mergeCell ref="B13:D13"/>
    <mergeCell ref="B12:D12"/>
    <mergeCell ref="I16:I17"/>
    <mergeCell ref="A16:A17"/>
    <mergeCell ref="B16:D16"/>
    <mergeCell ref="E16:F16"/>
    <mergeCell ref="G16:H16"/>
    <mergeCell ref="A15:I15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rowBreaks count="1" manualBreakCount="1">
    <brk id="2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5"/>
  <sheetViews>
    <sheetView view="pageBreakPreview" zoomScale="80" zoomScaleSheetLayoutView="80" workbookViewId="0">
      <pane ySplit="13" topLeftCell="A14" activePane="bottomLeft" state="frozen"/>
      <selection activeCell="M5" sqref="M5"/>
      <selection pane="bottomLeft" activeCell="M5" sqref="M5"/>
    </sheetView>
  </sheetViews>
  <sheetFormatPr defaultRowHeight="15" x14ac:dyDescent="0.25"/>
  <cols>
    <col min="1" max="1" width="3.42578125" style="1" bestFit="1" customWidth="1"/>
    <col min="2" max="2" width="26.140625" style="29" customWidth="1"/>
    <col min="3" max="4" width="4.42578125" style="1" customWidth="1"/>
    <col min="5" max="5" width="33.7109375" style="1" customWidth="1"/>
    <col min="6" max="6" width="12.140625" style="29" bestFit="1" customWidth="1"/>
    <col min="7" max="8" width="15.140625" style="1" customWidth="1"/>
    <col min="9" max="9" width="12.140625" style="1" customWidth="1"/>
    <col min="10" max="10" width="15.85546875" style="1" customWidth="1"/>
    <col min="11" max="11" width="13" style="1" customWidth="1"/>
    <col min="12" max="12" width="14.7109375" style="1" customWidth="1"/>
    <col min="13" max="13" width="38.28515625" style="1" customWidth="1"/>
    <col min="14" max="16384" width="9.140625" style="1"/>
  </cols>
  <sheetData>
    <row r="6" spans="1:13" x14ac:dyDescent="0.25">
      <c r="B6" s="294" t="s">
        <v>87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x14ac:dyDescent="0.25">
      <c r="B7" s="1" t="s">
        <v>96</v>
      </c>
    </row>
    <row r="8" spans="1:13" x14ac:dyDescent="0.25">
      <c r="B8" s="29" t="str">
        <f>'2. Exec Plano de Ação'!A12</f>
        <v>Responsável pela Análise:</v>
      </c>
      <c r="C8" s="295"/>
      <c r="D8" s="295"/>
      <c r="E8" s="295"/>
    </row>
    <row r="9" spans="1:13" x14ac:dyDescent="0.25">
      <c r="B9" s="29" t="s">
        <v>54</v>
      </c>
      <c r="C9" s="296"/>
      <c r="D9" s="296"/>
      <c r="E9" s="296"/>
    </row>
    <row r="11" spans="1:13" x14ac:dyDescent="0.25">
      <c r="B11" s="293" t="s">
        <v>58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</row>
    <row r="12" spans="1:13" x14ac:dyDescent="0.25">
      <c r="B12" s="298" t="s">
        <v>0</v>
      </c>
      <c r="C12" s="298" t="s">
        <v>1</v>
      </c>
      <c r="D12" s="298"/>
      <c r="E12" s="298"/>
      <c r="F12" s="298" t="s">
        <v>35</v>
      </c>
      <c r="G12" s="298"/>
      <c r="H12" s="298"/>
      <c r="I12" s="298" t="s">
        <v>36</v>
      </c>
      <c r="J12" s="298"/>
      <c r="K12" s="298" t="s">
        <v>10</v>
      </c>
      <c r="L12" s="298"/>
      <c r="M12" s="298" t="s">
        <v>34</v>
      </c>
    </row>
    <row r="13" spans="1:13" ht="75" x14ac:dyDescent="0.25">
      <c r="B13" s="298"/>
      <c r="C13" s="19" t="s">
        <v>2</v>
      </c>
      <c r="D13" s="19" t="s">
        <v>42</v>
      </c>
      <c r="E13" s="19" t="s">
        <v>3</v>
      </c>
      <c r="F13" s="19" t="s">
        <v>47</v>
      </c>
      <c r="G13" s="19" t="s">
        <v>48</v>
      </c>
      <c r="H13" s="19" t="s">
        <v>49</v>
      </c>
      <c r="I13" s="19" t="s">
        <v>50</v>
      </c>
      <c r="J13" s="19" t="s">
        <v>55</v>
      </c>
      <c r="K13" s="19" t="s">
        <v>51</v>
      </c>
      <c r="L13" s="19" t="s">
        <v>52</v>
      </c>
      <c r="M13" s="298"/>
    </row>
    <row r="14" spans="1:13" ht="24" x14ac:dyDescent="0.25">
      <c r="A14" s="1">
        <v>1</v>
      </c>
      <c r="B14" s="22" t="str">
        <f>'2. Exec Plano de Ação'!A18</f>
        <v xml:space="preserve">Comissão Exercício Profissional - CEP </v>
      </c>
      <c r="C14" s="22" t="str">
        <f>'2. Exec Plano de Ação'!B18</f>
        <v>P</v>
      </c>
      <c r="D14" s="23"/>
      <c r="E14" s="24" t="str">
        <f>'2. Exec Plano de Ação'!D18</f>
        <v>Caravana CAU</v>
      </c>
      <c r="F14" s="65">
        <v>1200</v>
      </c>
      <c r="G14" s="25">
        <v>0</v>
      </c>
      <c r="H14" s="6">
        <f>G14/F14</f>
        <v>0</v>
      </c>
      <c r="I14" s="4"/>
      <c r="J14" s="7">
        <f>I14*H14</f>
        <v>0</v>
      </c>
      <c r="K14" s="6">
        <f>I14/F14</f>
        <v>0</v>
      </c>
      <c r="L14" s="6" t="e">
        <f>J14/G14</f>
        <v>#DIV/0!</v>
      </c>
      <c r="M14" s="2"/>
    </row>
    <row r="15" spans="1:13" ht="24" x14ac:dyDescent="0.25">
      <c r="A15" s="1">
        <v>2</v>
      </c>
      <c r="B15" s="22" t="str">
        <f>'2. Exec Plano de Ação'!A19</f>
        <v xml:space="preserve">Comissão Exercício Profissional - CEP </v>
      </c>
      <c r="C15" s="22" t="str">
        <f>'2. Exec Plano de Ação'!B19</f>
        <v>P</v>
      </c>
      <c r="D15" s="23"/>
      <c r="E15" s="24" t="str">
        <f>'2. Exec Plano de Ação'!D19</f>
        <v>Cauniversitário</v>
      </c>
      <c r="F15" s="65">
        <v>3500</v>
      </c>
      <c r="G15" s="25">
        <v>0</v>
      </c>
      <c r="H15" s="6">
        <f t="shared" ref="H15:H26" si="0">G15/F15</f>
        <v>0</v>
      </c>
      <c r="I15" s="4"/>
      <c r="J15" s="7">
        <f t="shared" ref="J15:J26" si="1">I15*H15</f>
        <v>0</v>
      </c>
      <c r="K15" s="6">
        <f t="shared" ref="K15:K27" si="2">I15/F15</f>
        <v>0</v>
      </c>
      <c r="L15" s="6" t="e">
        <f t="shared" ref="L15:L26" si="3">J15/G15</f>
        <v>#DIV/0!</v>
      </c>
      <c r="M15" s="2"/>
    </row>
    <row r="16" spans="1:13" ht="24" x14ac:dyDescent="0.25">
      <c r="A16" s="1">
        <v>3</v>
      </c>
      <c r="B16" s="22" t="str">
        <f>'2. Exec Plano de Ação'!A20</f>
        <v xml:space="preserve">Comissão Exercício Profissional - CEP </v>
      </c>
      <c r="C16" s="22" t="str">
        <f>'2. Exec Plano de Ação'!B20</f>
        <v>P</v>
      </c>
      <c r="D16" s="23"/>
      <c r="E16" s="24" t="str">
        <f>'2. Exec Plano de Ação'!D20</f>
        <v>sou arquiteto, e agora?</v>
      </c>
      <c r="F16" s="65">
        <v>17000</v>
      </c>
      <c r="G16" s="25">
        <v>0</v>
      </c>
      <c r="H16" s="6">
        <f t="shared" si="0"/>
        <v>0</v>
      </c>
      <c r="I16" s="4"/>
      <c r="J16" s="7">
        <f t="shared" si="1"/>
        <v>0</v>
      </c>
      <c r="K16" s="6">
        <f t="shared" si="2"/>
        <v>0</v>
      </c>
      <c r="L16" s="6" t="e">
        <f t="shared" si="3"/>
        <v>#DIV/0!</v>
      </c>
      <c r="M16" s="2"/>
    </row>
    <row r="17" spans="1:13" ht="24" x14ac:dyDescent="0.25">
      <c r="A17" s="1">
        <v>4</v>
      </c>
      <c r="B17" s="22" t="str">
        <f>'2. Exec Plano de Ação'!A21</f>
        <v>Comissão de Ensino e Formação - CEF</v>
      </c>
      <c r="C17" s="22" t="str">
        <f>'2. Exec Plano de Ação'!B21</f>
        <v>P</v>
      </c>
      <c r="D17" s="23"/>
      <c r="E17" s="24" t="str">
        <f>'2. Exec Plano de Ação'!D21</f>
        <v>Dia do Arquiteto(Prêmio TFG)</v>
      </c>
      <c r="F17" s="65">
        <v>22000</v>
      </c>
      <c r="G17" s="25">
        <v>0</v>
      </c>
      <c r="H17" s="6">
        <f t="shared" si="0"/>
        <v>0</v>
      </c>
      <c r="I17" s="4"/>
      <c r="J17" s="7">
        <f t="shared" si="1"/>
        <v>0</v>
      </c>
      <c r="K17" s="6">
        <f t="shared" si="2"/>
        <v>0</v>
      </c>
      <c r="L17" s="6" t="e">
        <f t="shared" si="3"/>
        <v>#DIV/0!</v>
      </c>
      <c r="M17" s="2"/>
    </row>
    <row r="18" spans="1:13" ht="24" x14ac:dyDescent="0.25">
      <c r="A18" s="1">
        <v>5</v>
      </c>
      <c r="B18" s="22" t="str">
        <f>'2. Exec Plano de Ação'!A22</f>
        <v>Comissão de Ensino e Formação - CEF</v>
      </c>
      <c r="C18" s="22" t="str">
        <f>'2. Exec Plano de Ação'!B22</f>
        <v>P</v>
      </c>
      <c r="D18" s="23"/>
      <c r="E18" s="24" t="str">
        <f>'2. Exec Plano de Ação'!D22</f>
        <v>Residência Técnica</v>
      </c>
      <c r="F18" s="65">
        <v>3250</v>
      </c>
      <c r="G18" s="25">
        <v>0</v>
      </c>
      <c r="H18" s="6">
        <f t="shared" si="0"/>
        <v>0</v>
      </c>
      <c r="I18" s="4"/>
      <c r="J18" s="7">
        <f t="shared" si="1"/>
        <v>0</v>
      </c>
      <c r="K18" s="6">
        <f t="shared" si="2"/>
        <v>0</v>
      </c>
      <c r="L18" s="6" t="e">
        <f t="shared" si="3"/>
        <v>#DIV/0!</v>
      </c>
      <c r="M18" s="2"/>
    </row>
    <row r="19" spans="1:13" ht="24" x14ac:dyDescent="0.25">
      <c r="A19" s="1">
        <v>6</v>
      </c>
      <c r="B19" s="22" t="str">
        <f>'2. Exec Plano de Ação'!A23</f>
        <v>Comissão de Ensino e Formação - CEF</v>
      </c>
      <c r="C19" s="22" t="str">
        <f>'2. Exec Plano de Ação'!B23</f>
        <v>P</v>
      </c>
      <c r="D19" s="23"/>
      <c r="E19" s="24" t="str">
        <f>'2. Exec Plano de Ação'!D23</f>
        <v>Programa de Formação continuada</v>
      </c>
      <c r="F19" s="65">
        <v>3250</v>
      </c>
      <c r="G19" s="25">
        <v>0</v>
      </c>
      <c r="H19" s="6">
        <f t="shared" si="0"/>
        <v>0</v>
      </c>
      <c r="I19" s="4"/>
      <c r="J19" s="7">
        <f t="shared" si="1"/>
        <v>0</v>
      </c>
      <c r="K19" s="6">
        <f t="shared" si="2"/>
        <v>0</v>
      </c>
      <c r="L19" s="6" t="e">
        <f t="shared" si="3"/>
        <v>#DIV/0!</v>
      </c>
      <c r="M19" s="2"/>
    </row>
    <row r="20" spans="1:13" ht="15.75" x14ac:dyDescent="0.25">
      <c r="A20" s="1">
        <v>7</v>
      </c>
      <c r="B20" s="22" t="str">
        <f>'2. Exec Plano de Ação'!A24</f>
        <v>Presidência</v>
      </c>
      <c r="C20" s="22" t="str">
        <f>'2. Exec Plano de Ação'!B24</f>
        <v>A</v>
      </c>
      <c r="D20" s="23"/>
      <c r="E20" s="24" t="str">
        <f>'2. Exec Plano de Ação'!D24</f>
        <v>Capacitação</v>
      </c>
      <c r="F20" s="65">
        <v>20055</v>
      </c>
      <c r="G20" s="28">
        <v>0</v>
      </c>
      <c r="H20" s="6">
        <f t="shared" si="0"/>
        <v>0</v>
      </c>
      <c r="I20" s="4"/>
      <c r="J20" s="7">
        <f t="shared" si="1"/>
        <v>0</v>
      </c>
      <c r="K20" s="6">
        <f t="shared" si="2"/>
        <v>0</v>
      </c>
      <c r="L20" s="6" t="e">
        <f t="shared" si="3"/>
        <v>#DIV/0!</v>
      </c>
      <c r="M20" s="2"/>
    </row>
    <row r="21" spans="1:13" ht="15.75" x14ac:dyDescent="0.25">
      <c r="A21" s="1">
        <v>8</v>
      </c>
      <c r="B21" s="22" t="str">
        <f>'2. Exec Plano de Ação'!A25</f>
        <v>Presidência</v>
      </c>
      <c r="C21" s="22" t="str">
        <f>'2. Exec Plano de Ação'!B25</f>
        <v>P</v>
      </c>
      <c r="D21" s="23"/>
      <c r="E21" s="24" t="str">
        <f>'2. Exec Plano de Ação'!D25</f>
        <v>Comunicação - plano de mídia</v>
      </c>
      <c r="F21" s="65">
        <v>30083</v>
      </c>
      <c r="G21" s="26">
        <v>0</v>
      </c>
      <c r="H21" s="6">
        <f t="shared" si="0"/>
        <v>0</v>
      </c>
      <c r="I21" s="4">
        <v>2500</v>
      </c>
      <c r="J21" s="7">
        <f t="shared" si="1"/>
        <v>0</v>
      </c>
      <c r="K21" s="6">
        <f t="shared" si="2"/>
        <v>8.3103413888242522E-2</v>
      </c>
      <c r="L21" s="6" t="e">
        <f t="shared" si="3"/>
        <v>#DIV/0!</v>
      </c>
      <c r="M21" s="2"/>
    </row>
    <row r="22" spans="1:13" ht="15.75" x14ac:dyDescent="0.25">
      <c r="A22" s="1">
        <v>9</v>
      </c>
      <c r="B22" s="22" t="str">
        <f>'2. Exec Plano de Ação'!A26</f>
        <v>Presidência</v>
      </c>
      <c r="C22" s="22" t="str">
        <f>'2. Exec Plano de Ação'!B26</f>
        <v>P</v>
      </c>
      <c r="D22" s="23"/>
      <c r="E22" s="24" t="str">
        <f>'2. Exec Plano de Ação'!D26</f>
        <v>Patrocínio</v>
      </c>
      <c r="F22" s="65">
        <v>10028</v>
      </c>
      <c r="G22" s="26">
        <v>0</v>
      </c>
      <c r="H22" s="6">
        <f t="shared" si="0"/>
        <v>0</v>
      </c>
      <c r="I22" s="4"/>
      <c r="J22" s="7">
        <f t="shared" si="1"/>
        <v>0</v>
      </c>
      <c r="K22" s="6">
        <f t="shared" si="2"/>
        <v>0</v>
      </c>
      <c r="L22" s="6" t="e">
        <f t="shared" si="3"/>
        <v>#DIV/0!</v>
      </c>
      <c r="M22" s="2"/>
    </row>
    <row r="23" spans="1:13" ht="15.75" x14ac:dyDescent="0.25">
      <c r="A23" s="1">
        <v>10</v>
      </c>
      <c r="B23" s="22" t="str">
        <f>'2. Exec Plano de Ação'!A27</f>
        <v>Presidência</v>
      </c>
      <c r="C23" s="22" t="str">
        <f>'2. Exec Plano de Ação'!B27</f>
        <v>A</v>
      </c>
      <c r="D23" s="23"/>
      <c r="E23" s="24" t="str">
        <f>'2. Exec Plano de Ação'!D27</f>
        <v>Atendimento</v>
      </c>
      <c r="F23" s="65">
        <v>127067</v>
      </c>
      <c r="G23" s="26">
        <v>0</v>
      </c>
      <c r="H23" s="6">
        <f t="shared" si="0"/>
        <v>0</v>
      </c>
      <c r="I23" s="4">
        <v>28927.85</v>
      </c>
      <c r="J23" s="7">
        <f t="shared" si="1"/>
        <v>0</v>
      </c>
      <c r="K23" s="6">
        <f t="shared" si="2"/>
        <v>0.22765824328897352</v>
      </c>
      <c r="L23" s="6" t="e">
        <f t="shared" si="3"/>
        <v>#DIV/0!</v>
      </c>
      <c r="M23" s="2"/>
    </row>
    <row r="24" spans="1:13" ht="24" x14ac:dyDescent="0.25">
      <c r="A24" s="1">
        <v>11</v>
      </c>
      <c r="B24" s="22" t="str">
        <f>'2. Exec Plano de Ação'!A28</f>
        <v>Presidência</v>
      </c>
      <c r="C24" s="22" t="str">
        <f>'2. Exec Plano de Ação'!B28</f>
        <v>A</v>
      </c>
      <c r="D24" s="23"/>
      <c r="E24" s="24" t="str">
        <f>'2. Exec Plano de Ação'!D28</f>
        <v>Manutenção das rotinas administrativas do CAU/AL</v>
      </c>
      <c r="F24" s="65">
        <v>393020</v>
      </c>
      <c r="G24" s="25">
        <v>0</v>
      </c>
      <c r="H24" s="6">
        <f t="shared" si="0"/>
        <v>0</v>
      </c>
      <c r="I24" s="4">
        <v>91445.91</v>
      </c>
      <c r="J24" s="7">
        <f t="shared" si="1"/>
        <v>0</v>
      </c>
      <c r="K24" s="6">
        <f t="shared" si="2"/>
        <v>0.23267495292860416</v>
      </c>
      <c r="L24" s="6" t="e">
        <f t="shared" si="3"/>
        <v>#DIV/0!</v>
      </c>
      <c r="M24" s="2"/>
    </row>
    <row r="25" spans="1:13" ht="15.75" x14ac:dyDescent="0.25">
      <c r="A25" s="1">
        <v>12</v>
      </c>
      <c r="B25" s="22" t="str">
        <f>'2. Exec Plano de Ação'!A29</f>
        <v>Presidência</v>
      </c>
      <c r="C25" s="22" t="str">
        <f>'2. Exec Plano de Ação'!B29</f>
        <v>A</v>
      </c>
      <c r="D25" s="23"/>
      <c r="E25" s="24" t="str">
        <f>'2. Exec Plano de Ação'!D29</f>
        <v>Fiscalização sistemática</v>
      </c>
      <c r="F25" s="65">
        <v>307283</v>
      </c>
      <c r="G25" s="25">
        <v>0</v>
      </c>
      <c r="H25" s="6">
        <f t="shared" si="0"/>
        <v>0</v>
      </c>
      <c r="I25" s="4">
        <v>59124.69</v>
      </c>
      <c r="J25" s="7">
        <f t="shared" si="1"/>
        <v>0</v>
      </c>
      <c r="K25" s="6">
        <f t="shared" si="2"/>
        <v>0.19241119749546837</v>
      </c>
      <c r="L25" s="6" t="e">
        <f t="shared" si="3"/>
        <v>#DIV/0!</v>
      </c>
      <c r="M25" s="2"/>
    </row>
    <row r="26" spans="1:13" ht="24" x14ac:dyDescent="0.25">
      <c r="A26" s="1">
        <v>13</v>
      </c>
      <c r="B26" s="22" t="str">
        <f>'2. Exec Plano de Ação'!A30</f>
        <v>Presidência</v>
      </c>
      <c r="C26" s="22" t="str">
        <f>'2. Exec Plano de Ação'!B30</f>
        <v>A</v>
      </c>
      <c r="D26" s="23"/>
      <c r="E26" s="24" t="str">
        <f>'2. Exec Plano de Ação'!D30</f>
        <v>Ações de suprimento a demanda de deslocamento de pessoal</v>
      </c>
      <c r="F26" s="65">
        <v>55000</v>
      </c>
      <c r="G26" s="25">
        <v>0</v>
      </c>
      <c r="H26" s="6">
        <f t="shared" si="0"/>
        <v>0</v>
      </c>
      <c r="I26" s="4">
        <v>20472.02</v>
      </c>
      <c r="J26" s="7">
        <f t="shared" si="1"/>
        <v>0</v>
      </c>
      <c r="K26" s="6">
        <f t="shared" si="2"/>
        <v>0.37221854545454547</v>
      </c>
      <c r="L26" s="6" t="e">
        <f t="shared" si="3"/>
        <v>#DIV/0!</v>
      </c>
      <c r="M26" s="2"/>
    </row>
    <row r="27" spans="1:13" ht="24" x14ac:dyDescent="0.25">
      <c r="A27" s="1">
        <v>14</v>
      </c>
      <c r="B27" s="22" t="str">
        <f>'2. Exec Plano de Ação'!A31</f>
        <v>Presidência</v>
      </c>
      <c r="C27" s="22" t="str">
        <f>'2. Exec Plano de Ação'!B31</f>
        <v>A</v>
      </c>
      <c r="D27" s="23"/>
      <c r="E27" s="24" t="str">
        <f>'2. Exec Plano de Ação'!D31</f>
        <v>Aporte ao centro de serviços compartilhados - CSC</v>
      </c>
      <c r="F27" s="65">
        <v>77489</v>
      </c>
      <c r="G27" s="25">
        <v>0</v>
      </c>
      <c r="H27" s="6">
        <f>G27/F27</f>
        <v>0</v>
      </c>
      <c r="I27" s="4">
        <v>19372.23</v>
      </c>
      <c r="J27" s="7">
        <f>I27*H27</f>
        <v>0</v>
      </c>
      <c r="K27" s="6">
        <f t="shared" si="2"/>
        <v>0.24999974189885016</v>
      </c>
      <c r="L27" s="6" t="e">
        <f>J27/G27</f>
        <v>#DIV/0!</v>
      </c>
      <c r="M27" s="2"/>
    </row>
    <row r="28" spans="1:13" ht="24" x14ac:dyDescent="0.25">
      <c r="A28" s="1">
        <v>15</v>
      </c>
      <c r="B28" s="22" t="str">
        <f>'2. Exec Plano de Ação'!A32</f>
        <v>Presidência</v>
      </c>
      <c r="C28" s="22" t="str">
        <f>'2. Exec Plano de Ação'!B32</f>
        <v>A</v>
      </c>
      <c r="D28" s="53"/>
      <c r="E28" s="24" t="str">
        <f>'2. Exec Plano de Ação'!D32</f>
        <v>Contribuição ao fundo nacional de apoio aos CAU/CAUFS</v>
      </c>
      <c r="F28" s="65">
        <v>37990</v>
      </c>
      <c r="G28" s="27">
        <v>0</v>
      </c>
      <c r="H28" s="51">
        <f>G28/F28</f>
        <v>0</v>
      </c>
      <c r="I28" s="4">
        <v>9497.49</v>
      </c>
      <c r="J28" s="56">
        <f>I28*H28</f>
        <v>0</v>
      </c>
      <c r="K28" s="51">
        <f>I28/F28</f>
        <v>0.24999973677283496</v>
      </c>
      <c r="L28" s="51" t="e">
        <f>J28/G28</f>
        <v>#DIV/0!</v>
      </c>
      <c r="M28" s="20"/>
    </row>
    <row r="29" spans="1:13" ht="15.75" x14ac:dyDescent="0.25">
      <c r="A29" s="1">
        <v>16</v>
      </c>
      <c r="B29" s="22" t="str">
        <f>'2. Exec Plano de Ação'!A33</f>
        <v>Presidência</v>
      </c>
      <c r="C29" s="22" t="str">
        <f>'2. Exec Plano de Ação'!B33</f>
        <v>A</v>
      </c>
      <c r="D29" s="53"/>
      <c r="E29" s="24" t="str">
        <f>'2. Exec Plano de Ação'!D33</f>
        <v>Reserva de contigência</v>
      </c>
      <c r="F29" s="65">
        <v>10028</v>
      </c>
      <c r="G29" s="54">
        <v>0</v>
      </c>
      <c r="H29" s="51">
        <f>G29/F29</f>
        <v>0</v>
      </c>
      <c r="I29" s="4"/>
      <c r="J29" s="52">
        <f>I29*H29</f>
        <v>0</v>
      </c>
      <c r="K29" s="51">
        <f>I29/F29</f>
        <v>0</v>
      </c>
      <c r="L29" s="51">
        <v>0</v>
      </c>
      <c r="M29" s="66"/>
    </row>
    <row r="30" spans="1:13" ht="24" x14ac:dyDescent="0.25">
      <c r="A30" s="1">
        <v>17</v>
      </c>
      <c r="B30" s="22" t="str">
        <f>'2. Exec Plano de Ação'!A34</f>
        <v>Comissão de Administração e Finanças - CAF</v>
      </c>
      <c r="C30" s="22" t="str">
        <f>'2. Exec Plano de Ação'!B34</f>
        <v>P</v>
      </c>
      <c r="D30" s="53"/>
      <c r="E30" s="24" t="str">
        <f>'2. Exec Plano de Ação'!D34</f>
        <v>Planejameno e redesenho dos processos do CAU/AL</v>
      </c>
      <c r="F30" s="65">
        <v>50000</v>
      </c>
      <c r="G30" s="54">
        <v>0</v>
      </c>
      <c r="H30" s="51">
        <f>G30/F30</f>
        <v>0</v>
      </c>
      <c r="I30" s="4"/>
      <c r="J30" s="52">
        <f>I30*H30</f>
        <v>0</v>
      </c>
      <c r="K30" s="51">
        <f>I30/F30</f>
        <v>0</v>
      </c>
      <c r="L30" s="51">
        <v>0</v>
      </c>
      <c r="M30" s="20"/>
    </row>
    <row r="31" spans="1:13" ht="15.75" x14ac:dyDescent="0.25">
      <c r="A31" s="1">
        <v>18</v>
      </c>
      <c r="B31" s="22" t="str">
        <f>'2. Exec Plano de Ação'!A35</f>
        <v>Presidência</v>
      </c>
      <c r="C31" s="22" t="str">
        <f>'2. Exec Plano de Ação'!B35</f>
        <v>P</v>
      </c>
      <c r="D31" s="53"/>
      <c r="E31" s="24" t="str">
        <f>'2. Exec Plano de Ação'!D35</f>
        <v xml:space="preserve">Ampliação das instalações da sede </v>
      </c>
      <c r="F31" s="65">
        <v>200000</v>
      </c>
      <c r="G31" s="27">
        <v>0</v>
      </c>
      <c r="H31" s="55">
        <f>G31/F31</f>
        <v>0</v>
      </c>
      <c r="I31" s="4">
        <v>28574.35</v>
      </c>
      <c r="J31" s="52">
        <f>I31*H31</f>
        <v>0</v>
      </c>
      <c r="K31" s="51">
        <f>I31/F31</f>
        <v>0.14287174999999999</v>
      </c>
      <c r="L31" s="51">
        <v>0</v>
      </c>
      <c r="M31" s="2"/>
    </row>
    <row r="32" spans="1:13" s="36" customFormat="1" ht="15.75" x14ac:dyDescent="0.25">
      <c r="B32" s="30" t="s">
        <v>11</v>
      </c>
      <c r="C32" s="30"/>
      <c r="D32" s="31"/>
      <c r="E32" s="31"/>
      <c r="F32" s="32">
        <f>SUM(F14:F31)</f>
        <v>1368243</v>
      </c>
      <c r="G32" s="33">
        <f>SUM(G14:G31)</f>
        <v>0</v>
      </c>
      <c r="H32" s="34" t="s">
        <v>53</v>
      </c>
      <c r="I32" s="32">
        <f>SUM(I14:I31)</f>
        <v>259914.54</v>
      </c>
      <c r="J32" s="46">
        <f>SUM(J14:J31)</f>
        <v>0</v>
      </c>
      <c r="K32" s="35">
        <f>I32/F32</f>
        <v>0.18996226547477313</v>
      </c>
      <c r="L32" s="34" t="s">
        <v>53</v>
      </c>
      <c r="M32" s="31"/>
    </row>
    <row r="33" spans="2:13" x14ac:dyDescent="0.25">
      <c r="B33" s="297" t="s">
        <v>33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</row>
    <row r="35" spans="2:13" ht="30" x14ac:dyDescent="0.25">
      <c r="B35" s="21" t="s">
        <v>59</v>
      </c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2"/>
    </row>
  </sheetData>
  <autoFilter ref="B11:M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C35:M35"/>
    <mergeCell ref="B11:M11"/>
    <mergeCell ref="B6:M6"/>
    <mergeCell ref="C8:E8"/>
    <mergeCell ref="C9:E9"/>
    <mergeCell ref="B33:M33"/>
    <mergeCell ref="B12:B13"/>
    <mergeCell ref="M12:M13"/>
    <mergeCell ref="C12:E12"/>
    <mergeCell ref="I12:J12"/>
    <mergeCell ref="K12:L12"/>
    <mergeCell ref="F12:H1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9"/>
  <sheetViews>
    <sheetView showGridLines="0" view="pageBreakPreview" topLeftCell="A4" zoomScale="80" zoomScaleSheetLayoutView="80" workbookViewId="0">
      <selection activeCell="J19" sqref="J19"/>
    </sheetView>
  </sheetViews>
  <sheetFormatPr defaultRowHeight="21" x14ac:dyDescent="0.35"/>
  <cols>
    <col min="1" max="1" width="48" style="78" bestFit="1" customWidth="1"/>
    <col min="2" max="2" width="16.5703125" style="78" bestFit="1" customWidth="1"/>
    <col min="3" max="3" width="18.7109375" style="78" bestFit="1" customWidth="1"/>
    <col min="4" max="4" width="11.5703125" style="78" bestFit="1" customWidth="1"/>
    <col min="5" max="5" width="16.5703125" style="78" bestFit="1" customWidth="1"/>
    <col min="6" max="6" width="20.7109375" style="78" bestFit="1" customWidth="1"/>
    <col min="7" max="7" width="11.5703125" style="106" bestFit="1" customWidth="1"/>
    <col min="8" max="8" width="11.7109375" style="107" bestFit="1" customWidth="1"/>
    <col min="9" max="16384" width="9.140625" style="78"/>
  </cols>
  <sheetData>
    <row r="1" spans="1:8" s="75" customFormat="1" x14ac:dyDescent="0.35">
      <c r="G1" s="76"/>
      <c r="H1" s="77"/>
    </row>
    <row r="2" spans="1:8" s="75" customFormat="1" x14ac:dyDescent="0.35">
      <c r="G2" s="76"/>
      <c r="H2" s="77"/>
    </row>
    <row r="3" spans="1:8" s="75" customFormat="1" x14ac:dyDescent="0.35">
      <c r="G3" s="76"/>
      <c r="H3" s="77"/>
    </row>
    <row r="4" spans="1:8" s="75" customFormat="1" x14ac:dyDescent="0.35">
      <c r="G4" s="76"/>
      <c r="H4" s="77"/>
    </row>
    <row r="5" spans="1:8" s="75" customFormat="1" x14ac:dyDescent="0.35">
      <c r="G5" s="76"/>
      <c r="H5" s="77"/>
    </row>
    <row r="6" spans="1:8" x14ac:dyDescent="0.35">
      <c r="A6" s="299" t="s">
        <v>117</v>
      </c>
      <c r="B6" s="277"/>
      <c r="C6" s="277"/>
      <c r="D6" s="277"/>
      <c r="E6" s="277"/>
      <c r="F6" s="277"/>
      <c r="G6" s="277"/>
      <c r="H6" s="277"/>
    </row>
    <row r="7" spans="1:8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</row>
    <row r="8" spans="1:8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</row>
    <row r="9" spans="1:8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</row>
    <row r="10" spans="1:8" ht="21" customHeight="1" x14ac:dyDescent="0.35">
      <c r="A10" s="279" t="s">
        <v>177</v>
      </c>
      <c r="B10" s="279"/>
      <c r="C10" s="279"/>
      <c r="D10" s="279"/>
      <c r="E10" s="279"/>
      <c r="F10" s="279"/>
      <c r="G10" s="279"/>
      <c r="H10" s="143"/>
    </row>
    <row r="11" spans="1:8" ht="63" x14ac:dyDescent="0.35">
      <c r="A11" s="79" t="s">
        <v>12</v>
      </c>
      <c r="B11" s="80" t="s">
        <v>99</v>
      </c>
      <c r="C11" s="80" t="s">
        <v>183</v>
      </c>
      <c r="D11" s="81" t="s">
        <v>98</v>
      </c>
      <c r="E11" s="82" t="s">
        <v>173</v>
      </c>
      <c r="F11" s="80" t="s">
        <v>182</v>
      </c>
      <c r="G11" s="83" t="s">
        <v>98</v>
      </c>
      <c r="H11" s="83" t="s">
        <v>178</v>
      </c>
    </row>
    <row r="12" spans="1:8" x14ac:dyDescent="0.35">
      <c r="A12" s="300" t="s">
        <v>174</v>
      </c>
      <c r="B12" s="301"/>
      <c r="C12" s="301"/>
      <c r="D12" s="301"/>
      <c r="E12" s="301"/>
      <c r="F12" s="301"/>
      <c r="G12" s="301"/>
      <c r="H12" s="302"/>
    </row>
    <row r="13" spans="1:8" x14ac:dyDescent="0.35">
      <c r="A13" s="84" t="s">
        <v>20</v>
      </c>
      <c r="B13" s="85">
        <f>B14+B22+B21</f>
        <v>1168243</v>
      </c>
      <c r="C13" s="85">
        <f>C14+C22+C21</f>
        <v>321683.74</v>
      </c>
      <c r="D13" s="86">
        <f>C13/B13</f>
        <v>0.27535687352716859</v>
      </c>
      <c r="E13" s="85">
        <f>E14+E22+E21</f>
        <v>1125255</v>
      </c>
      <c r="F13" s="85">
        <f>'Dem Fontes e Usos'!C13</f>
        <v>380574.87</v>
      </c>
      <c r="G13" s="87">
        <f>F13/E13</f>
        <v>0.33821211192129785</v>
      </c>
      <c r="H13" s="138">
        <f>F13/C13</f>
        <v>1.1830715161419101</v>
      </c>
    </row>
    <row r="14" spans="1:8" x14ac:dyDescent="0.35">
      <c r="A14" s="89" t="s">
        <v>13</v>
      </c>
      <c r="B14" s="90">
        <f>B15+B20</f>
        <v>1138243</v>
      </c>
      <c r="C14" s="90">
        <f>C15+C20</f>
        <v>309798.7</v>
      </c>
      <c r="D14" s="91">
        <f t="shared" ref="D14:D27" si="0">C14/B14</f>
        <v>0.27217272585906527</v>
      </c>
      <c r="E14" s="90">
        <f>E15+E20</f>
        <v>1042940</v>
      </c>
      <c r="F14" s="90">
        <f>'Dem Fontes e Usos'!C14</f>
        <v>359585.06</v>
      </c>
      <c r="G14" s="92">
        <f t="shared" ref="G14:G27" si="1">F14/E14</f>
        <v>0.34478019828561568</v>
      </c>
      <c r="H14" s="93">
        <f t="shared" ref="H14:H27" si="2">F14/C14</f>
        <v>1.1607055161948709</v>
      </c>
    </row>
    <row r="15" spans="1:8" x14ac:dyDescent="0.35">
      <c r="A15" s="94" t="s">
        <v>14</v>
      </c>
      <c r="B15" s="95">
        <f>SUM(B16:B19)</f>
        <v>500870</v>
      </c>
      <c r="C15" s="95">
        <f>SUM(C16:C19)</f>
        <v>192093.25</v>
      </c>
      <c r="D15" s="96">
        <f t="shared" si="0"/>
        <v>0.38351917663265916</v>
      </c>
      <c r="E15" s="95">
        <f>SUM(E16:E19)</f>
        <v>496628</v>
      </c>
      <c r="F15" s="95">
        <f>'Dem Fontes e Usos'!C15</f>
        <v>243503.03999999998</v>
      </c>
      <c r="G15" s="97">
        <f t="shared" si="1"/>
        <v>0.49031274918047307</v>
      </c>
      <c r="H15" s="98">
        <f t="shared" si="2"/>
        <v>1.2676293414786828</v>
      </c>
    </row>
    <row r="16" spans="1:8" x14ac:dyDescent="0.35">
      <c r="A16" s="99" t="s">
        <v>15</v>
      </c>
      <c r="B16" s="100">
        <v>424048</v>
      </c>
      <c r="C16" s="215">
        <v>176584.16</v>
      </c>
      <c r="D16" s="91">
        <f t="shared" si="0"/>
        <v>0.41642493302644984</v>
      </c>
      <c r="E16" s="100">
        <f>'Dem Fontes e Usos'!B16</f>
        <v>430670</v>
      </c>
      <c r="F16" s="100">
        <f>'Dem Fontes e Usos'!C16</f>
        <v>215998.22</v>
      </c>
      <c r="G16" s="92">
        <f t="shared" si="1"/>
        <v>0.50153997260083127</v>
      </c>
      <c r="H16" s="93">
        <f t="shared" si="2"/>
        <v>1.2232026926990507</v>
      </c>
    </row>
    <row r="17" spans="1:8" x14ac:dyDescent="0.35">
      <c r="A17" s="99" t="s">
        <v>16</v>
      </c>
      <c r="B17" s="100">
        <v>30613</v>
      </c>
      <c r="C17" s="215">
        <v>10290.18</v>
      </c>
      <c r="D17" s="91">
        <f t="shared" si="0"/>
        <v>0.33613758860614773</v>
      </c>
      <c r="E17" s="100">
        <f>'Dem Fontes e Usos'!B17</f>
        <v>35581</v>
      </c>
      <c r="F17" s="100">
        <f>'Dem Fontes e Usos'!C17</f>
        <v>13974.05</v>
      </c>
      <c r="G17" s="92">
        <f t="shared" si="1"/>
        <v>0.39273910232989517</v>
      </c>
      <c r="H17" s="93">
        <f t="shared" si="2"/>
        <v>1.3579985967203683</v>
      </c>
    </row>
    <row r="18" spans="1:8" x14ac:dyDescent="0.35">
      <c r="A18" s="99" t="s">
        <v>17</v>
      </c>
      <c r="B18" s="100">
        <f>26209+20000</f>
        <v>46209</v>
      </c>
      <c r="C18" s="215">
        <f>200.61+133.73+1691.21+2591.89+19.5+581.97</f>
        <v>5218.9100000000008</v>
      </c>
      <c r="D18" s="91">
        <f t="shared" si="0"/>
        <v>0.11294141833841893</v>
      </c>
      <c r="E18" s="100">
        <f>'Dem Fontes e Usos'!B18</f>
        <v>30377</v>
      </c>
      <c r="F18" s="100">
        <f>'Dem Fontes e Usos'!C18</f>
        <v>13530.77</v>
      </c>
      <c r="G18" s="92">
        <f t="shared" si="1"/>
        <v>0.44542811995917964</v>
      </c>
      <c r="H18" s="93">
        <f t="shared" si="2"/>
        <v>2.592642908193473</v>
      </c>
    </row>
    <row r="19" spans="1:8" x14ac:dyDescent="0.35">
      <c r="A19" s="99" t="s">
        <v>65</v>
      </c>
      <c r="B19" s="100">
        <v>0</v>
      </c>
      <c r="C19" s="100">
        <v>0</v>
      </c>
      <c r="D19" s="91" t="s">
        <v>64</v>
      </c>
      <c r="E19" s="100">
        <v>0</v>
      </c>
      <c r="F19" s="90">
        <f>'Dem Fontes e Usos'!C19</f>
        <v>0</v>
      </c>
      <c r="G19" s="92" t="s">
        <v>64</v>
      </c>
      <c r="H19" s="93" t="s">
        <v>64</v>
      </c>
    </row>
    <row r="20" spans="1:8" x14ac:dyDescent="0.35">
      <c r="A20" s="94" t="s">
        <v>18</v>
      </c>
      <c r="B20" s="95">
        <v>637373</v>
      </c>
      <c r="C20" s="216">
        <v>117705.45</v>
      </c>
      <c r="D20" s="96">
        <f t="shared" si="0"/>
        <v>0.18467278971653961</v>
      </c>
      <c r="E20" s="95">
        <f>'Dem Fontes e Usos'!B20</f>
        <v>546312</v>
      </c>
      <c r="F20" s="100">
        <f>'Dem Fontes e Usos'!C20</f>
        <v>116082.02</v>
      </c>
      <c r="G20" s="97">
        <f t="shared" si="1"/>
        <v>0.21248301336964959</v>
      </c>
      <c r="H20" s="98">
        <f t="shared" si="2"/>
        <v>0.98620769046802848</v>
      </c>
    </row>
    <row r="21" spans="1:8" x14ac:dyDescent="0.35">
      <c r="A21" s="89" t="s">
        <v>37</v>
      </c>
      <c r="B21" s="90">
        <v>0</v>
      </c>
      <c r="C21" s="216">
        <v>0</v>
      </c>
      <c r="D21" s="91" t="s">
        <v>64</v>
      </c>
      <c r="E21" s="90">
        <f>'Dem Fontes e Usos'!B21</f>
        <v>82315</v>
      </c>
      <c r="F21" s="100">
        <f>'Dem Fontes e Usos'!C21</f>
        <v>13719.16</v>
      </c>
      <c r="G21" s="92">
        <f t="shared" si="1"/>
        <v>0.1666665856769726</v>
      </c>
      <c r="H21" s="93" t="s">
        <v>64</v>
      </c>
    </row>
    <row r="22" spans="1:8" x14ac:dyDescent="0.35">
      <c r="A22" s="94" t="s">
        <v>38</v>
      </c>
      <c r="B22" s="95">
        <f>SUM(B23:B24)</f>
        <v>30000</v>
      </c>
      <c r="C22" s="95">
        <f>SUM(C23:C24)</f>
        <v>11885.04</v>
      </c>
      <c r="D22" s="96">
        <f t="shared" si="0"/>
        <v>0.39616800000000002</v>
      </c>
      <c r="E22" s="95">
        <f>SUM(E23:E24)</f>
        <v>0</v>
      </c>
      <c r="F22" s="95">
        <f>'Dem Fontes e Usos'!C22</f>
        <v>7270.65</v>
      </c>
      <c r="G22" s="97" t="s">
        <v>64</v>
      </c>
      <c r="H22" s="98">
        <f t="shared" si="2"/>
        <v>0.61174804628339485</v>
      </c>
    </row>
    <row r="23" spans="1:8" x14ac:dyDescent="0.35">
      <c r="A23" s="99" t="s">
        <v>39</v>
      </c>
      <c r="B23" s="100">
        <v>30000</v>
      </c>
      <c r="C23" s="215">
        <v>11885.04</v>
      </c>
      <c r="D23" s="91">
        <f t="shared" si="0"/>
        <v>0.39616800000000002</v>
      </c>
      <c r="E23" s="100">
        <f>'Dem Fontes e Usos'!B23</f>
        <v>0</v>
      </c>
      <c r="F23" s="100">
        <f>'Dem Fontes e Usos'!C23</f>
        <v>7270.65</v>
      </c>
      <c r="G23" s="92" t="s">
        <v>64</v>
      </c>
      <c r="H23" s="93">
        <f t="shared" si="2"/>
        <v>0.61174804628339485</v>
      </c>
    </row>
    <row r="24" spans="1:8" x14ac:dyDescent="0.35">
      <c r="A24" s="99" t="s">
        <v>40</v>
      </c>
      <c r="B24" s="100">
        <v>0</v>
      </c>
      <c r="C24" s="215">
        <v>0</v>
      </c>
      <c r="D24" s="91" t="s">
        <v>64</v>
      </c>
      <c r="E24" s="100">
        <f>'Dem Fontes e Usos'!B24</f>
        <v>0</v>
      </c>
      <c r="F24" s="100">
        <f>'Dem Fontes e Usos'!C24</f>
        <v>0</v>
      </c>
      <c r="G24" s="92" t="s">
        <v>64</v>
      </c>
      <c r="H24" s="93" t="s">
        <v>64</v>
      </c>
    </row>
    <row r="25" spans="1:8" x14ac:dyDescent="0.35">
      <c r="A25" s="84" t="s">
        <v>21</v>
      </c>
      <c r="B25" s="85">
        <f>B26</f>
        <v>200000</v>
      </c>
      <c r="C25" s="85">
        <f>C26</f>
        <v>0</v>
      </c>
      <c r="D25" s="86">
        <f t="shared" si="0"/>
        <v>0</v>
      </c>
      <c r="E25" s="85">
        <f>E26</f>
        <v>50000</v>
      </c>
      <c r="F25" s="85">
        <f>F26</f>
        <v>0</v>
      </c>
      <c r="G25" s="87">
        <f t="shared" si="1"/>
        <v>0</v>
      </c>
      <c r="H25" s="88" t="s">
        <v>64</v>
      </c>
    </row>
    <row r="26" spans="1:8" x14ac:dyDescent="0.35">
      <c r="A26" s="99" t="s">
        <v>19</v>
      </c>
      <c r="B26" s="100">
        <v>200000</v>
      </c>
      <c r="C26" s="100">
        <v>0</v>
      </c>
      <c r="D26" s="101">
        <f t="shared" si="0"/>
        <v>0</v>
      </c>
      <c r="E26" s="102">
        <f>'Dem Fontes e Usos'!B26</f>
        <v>50000</v>
      </c>
      <c r="F26" s="102"/>
      <c r="G26" s="92">
        <f t="shared" si="1"/>
        <v>0</v>
      </c>
      <c r="H26" s="93" t="s">
        <v>64</v>
      </c>
    </row>
    <row r="27" spans="1:8" x14ac:dyDescent="0.35">
      <c r="A27" s="84" t="s">
        <v>22</v>
      </c>
      <c r="B27" s="85">
        <f>B13+B25</f>
        <v>1368243</v>
      </c>
      <c r="C27" s="85">
        <f>C13+C25</f>
        <v>321683.74</v>
      </c>
      <c r="D27" s="103">
        <f t="shared" si="0"/>
        <v>0.23510717029065742</v>
      </c>
      <c r="E27" s="104">
        <f>E13+E25</f>
        <v>1175255</v>
      </c>
      <c r="F27" s="85">
        <f>F13+F25</f>
        <v>380574.87</v>
      </c>
      <c r="G27" s="87">
        <f t="shared" si="1"/>
        <v>0.32382322985224482</v>
      </c>
      <c r="H27" s="88">
        <f t="shared" si="2"/>
        <v>1.1830715161419101</v>
      </c>
    </row>
    <row r="28" spans="1:8" x14ac:dyDescent="0.35">
      <c r="C28" s="105"/>
      <c r="D28" s="106"/>
    </row>
    <row r="29" spans="1:8" x14ac:dyDescent="0.35">
      <c r="C29" s="108"/>
      <c r="D29" s="106"/>
    </row>
  </sheetData>
  <mergeCells count="6">
    <mergeCell ref="A6:H6"/>
    <mergeCell ref="A12:H12"/>
    <mergeCell ref="A9:H9"/>
    <mergeCell ref="A8:H8"/>
    <mergeCell ref="A7:H7"/>
    <mergeCell ref="A10:G10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2"/>
  <sheetViews>
    <sheetView showGridLines="0" view="pageBreakPreview" topLeftCell="A7" zoomScaleSheetLayoutView="100" workbookViewId="0">
      <selection activeCell="F18" sqref="F18"/>
    </sheetView>
  </sheetViews>
  <sheetFormatPr defaultColWidth="68" defaultRowHeight="15" x14ac:dyDescent="0.25"/>
  <cols>
    <col min="1" max="1" width="37.85546875" bestFit="1" customWidth="1"/>
    <col min="2" max="2" width="9.85546875" bestFit="1" customWidth="1"/>
    <col min="3" max="3" width="54.7109375" bestFit="1" customWidth="1"/>
    <col min="4" max="4" width="12.5703125" customWidth="1"/>
    <col min="5" max="5" width="17.5703125" customWidth="1"/>
    <col min="6" max="6" width="11.140625" customWidth="1"/>
    <col min="7" max="7" width="17.28515625" customWidth="1"/>
    <col min="8" max="8" width="15.140625" customWidth="1"/>
  </cols>
  <sheetData>
    <row r="1" spans="1:8" s="75" customFormat="1" ht="21" x14ac:dyDescent="0.35">
      <c r="G1" s="76"/>
      <c r="H1" s="77"/>
    </row>
    <row r="2" spans="1:8" s="75" customFormat="1" ht="21" x14ac:dyDescent="0.35">
      <c r="G2" s="76"/>
      <c r="H2" s="77"/>
    </row>
    <row r="3" spans="1:8" s="75" customFormat="1" ht="21" x14ac:dyDescent="0.35">
      <c r="G3" s="76"/>
      <c r="H3" s="77"/>
    </row>
    <row r="4" spans="1:8" s="75" customFormat="1" ht="21" x14ac:dyDescent="0.35">
      <c r="G4" s="76"/>
      <c r="H4" s="77"/>
    </row>
    <row r="5" spans="1:8" s="75" customFormat="1" ht="21" x14ac:dyDescent="0.35">
      <c r="G5" s="76"/>
      <c r="H5" s="77"/>
    </row>
    <row r="6" spans="1:8" s="78" customFormat="1" ht="21" x14ac:dyDescent="0.35">
      <c r="A6" s="299" t="s">
        <v>117</v>
      </c>
      <c r="B6" s="277"/>
      <c r="C6" s="277"/>
      <c r="D6" s="277"/>
      <c r="E6" s="277"/>
      <c r="F6" s="277"/>
      <c r="G6" s="277"/>
      <c r="H6" s="277"/>
    </row>
    <row r="7" spans="1:8" s="78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</row>
    <row r="8" spans="1:8" s="78" customFormat="1" ht="21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</row>
    <row r="9" spans="1:8" s="78" customFormat="1" ht="21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</row>
    <row r="10" spans="1:8" s="78" customFormat="1" ht="21.75" customHeight="1" thickBot="1" x14ac:dyDescent="0.4">
      <c r="A10" s="279" t="s">
        <v>120</v>
      </c>
      <c r="B10" s="279"/>
      <c r="C10" s="279"/>
      <c r="D10" s="279"/>
      <c r="E10" s="279"/>
      <c r="F10" s="279"/>
      <c r="G10" s="279"/>
      <c r="H10" s="143"/>
    </row>
    <row r="11" spans="1:8" s="1" customFormat="1" ht="62.25" customHeight="1" x14ac:dyDescent="0.25">
      <c r="A11" s="109" t="s">
        <v>56</v>
      </c>
      <c r="B11" s="110" t="s">
        <v>122</v>
      </c>
      <c r="C11" s="110" t="s">
        <v>3</v>
      </c>
      <c r="D11" s="110" t="s">
        <v>131</v>
      </c>
      <c r="E11" s="110" t="s">
        <v>129</v>
      </c>
      <c r="F11" s="110" t="s">
        <v>130</v>
      </c>
      <c r="G11" s="110" t="s">
        <v>84</v>
      </c>
      <c r="H11" s="111" t="s">
        <v>85</v>
      </c>
    </row>
    <row r="12" spans="1:8" s="1" customFormat="1" x14ac:dyDescent="0.25">
      <c r="A12" s="232" t="s">
        <v>67</v>
      </c>
      <c r="B12" s="233" t="s">
        <v>43</v>
      </c>
      <c r="C12" s="196" t="s">
        <v>71</v>
      </c>
      <c r="D12" s="112">
        <v>3000</v>
      </c>
      <c r="E12" s="113">
        <f t="shared" ref="E12:E26" si="0">D12/$D$27</f>
        <v>2.6660623591985818E-3</v>
      </c>
      <c r="F12" s="212">
        <v>750</v>
      </c>
      <c r="G12" s="113">
        <f t="shared" ref="G12:G26" si="1">F12/D12</f>
        <v>0.25</v>
      </c>
      <c r="H12" s="114">
        <f t="shared" ref="H12:H27" si="2">F12/$D$27</f>
        <v>6.6651558979964544E-4</v>
      </c>
    </row>
    <row r="13" spans="1:8" s="1" customFormat="1" x14ac:dyDescent="0.25">
      <c r="A13" s="232" t="s">
        <v>67</v>
      </c>
      <c r="B13" s="233" t="s">
        <v>43</v>
      </c>
      <c r="C13" s="196" t="s">
        <v>88</v>
      </c>
      <c r="D13" s="112">
        <v>10000</v>
      </c>
      <c r="E13" s="113">
        <f t="shared" si="0"/>
        <v>8.8868745306619392E-3</v>
      </c>
      <c r="F13" s="212">
        <v>0</v>
      </c>
      <c r="G13" s="113">
        <f t="shared" si="1"/>
        <v>0</v>
      </c>
      <c r="H13" s="114">
        <f t="shared" si="2"/>
        <v>0</v>
      </c>
    </row>
    <row r="14" spans="1:8" s="1" customFormat="1" x14ac:dyDescent="0.25">
      <c r="A14" s="232" t="s">
        <v>68</v>
      </c>
      <c r="B14" s="233" t="s">
        <v>43</v>
      </c>
      <c r="C14" s="196" t="s">
        <v>186</v>
      </c>
      <c r="D14" s="112">
        <v>30000</v>
      </c>
      <c r="E14" s="113">
        <f t="shared" si="0"/>
        <v>2.6660623591985816E-2</v>
      </c>
      <c r="F14" s="212">
        <v>0</v>
      </c>
      <c r="G14" s="113">
        <f t="shared" si="1"/>
        <v>0</v>
      </c>
      <c r="H14" s="114">
        <f t="shared" si="2"/>
        <v>0</v>
      </c>
    </row>
    <row r="15" spans="1:8" s="1" customFormat="1" x14ac:dyDescent="0.25">
      <c r="A15" s="232" t="s">
        <v>68</v>
      </c>
      <c r="B15" s="233" t="s">
        <v>43</v>
      </c>
      <c r="C15" s="196" t="s">
        <v>90</v>
      </c>
      <c r="D15" s="112">
        <v>3000</v>
      </c>
      <c r="E15" s="113">
        <f t="shared" si="0"/>
        <v>2.6660623591985818E-3</v>
      </c>
      <c r="F15" s="212">
        <v>0</v>
      </c>
      <c r="G15" s="113">
        <f t="shared" si="1"/>
        <v>0</v>
      </c>
      <c r="H15" s="114">
        <f t="shared" si="2"/>
        <v>0</v>
      </c>
    </row>
    <row r="16" spans="1:8" s="1" customFormat="1" x14ac:dyDescent="0.25">
      <c r="A16" s="232" t="s">
        <v>68</v>
      </c>
      <c r="B16" s="233" t="s">
        <v>43</v>
      </c>
      <c r="C16" s="196" t="s">
        <v>91</v>
      </c>
      <c r="D16" s="112">
        <v>3000</v>
      </c>
      <c r="E16" s="113">
        <f t="shared" si="0"/>
        <v>2.6660623591985818E-3</v>
      </c>
      <c r="F16" s="212">
        <v>0</v>
      </c>
      <c r="G16" s="113">
        <f t="shared" si="1"/>
        <v>0</v>
      </c>
      <c r="H16" s="114">
        <f t="shared" si="2"/>
        <v>0</v>
      </c>
    </row>
    <row r="17" spans="1:8" s="1" customFormat="1" x14ac:dyDescent="0.25">
      <c r="A17" s="232" t="s">
        <v>69</v>
      </c>
      <c r="B17" s="233" t="s">
        <v>44</v>
      </c>
      <c r="C17" s="196" t="s">
        <v>73</v>
      </c>
      <c r="D17" s="112">
        <v>11000</v>
      </c>
      <c r="E17" s="113">
        <f t="shared" si="0"/>
        <v>9.7755619837281323E-3</v>
      </c>
      <c r="F17" s="212">
        <v>0</v>
      </c>
      <c r="G17" s="113">
        <f t="shared" si="1"/>
        <v>0</v>
      </c>
      <c r="H17" s="114">
        <f t="shared" si="2"/>
        <v>0</v>
      </c>
    </row>
    <row r="18" spans="1:8" s="1" customFormat="1" x14ac:dyDescent="0.25">
      <c r="A18" s="232" t="s">
        <v>69</v>
      </c>
      <c r="B18" s="233" t="s">
        <v>44</v>
      </c>
      <c r="C18" s="196" t="s">
        <v>74</v>
      </c>
      <c r="D18" s="112">
        <v>31000</v>
      </c>
      <c r="E18" s="113">
        <f t="shared" si="0"/>
        <v>2.7549311045052011E-2</v>
      </c>
      <c r="F18" s="212">
        <v>7500</v>
      </c>
      <c r="G18" s="113">
        <f t="shared" si="1"/>
        <v>0.24193548387096775</v>
      </c>
      <c r="H18" s="114">
        <f t="shared" si="2"/>
        <v>6.665155897996454E-3</v>
      </c>
    </row>
    <row r="19" spans="1:8" s="1" customFormat="1" x14ac:dyDescent="0.25">
      <c r="A19" s="232" t="s">
        <v>69</v>
      </c>
      <c r="B19" s="233" t="s">
        <v>44</v>
      </c>
      <c r="C19" s="196" t="s">
        <v>92</v>
      </c>
      <c r="D19" s="112">
        <v>147000</v>
      </c>
      <c r="E19" s="113">
        <f t="shared" si="0"/>
        <v>0.1306370556007305</v>
      </c>
      <c r="F19" s="213">
        <v>31333.08</v>
      </c>
      <c r="G19" s="113">
        <f t="shared" si="1"/>
        <v>0.21315020408163265</v>
      </c>
      <c r="H19" s="114">
        <f t="shared" si="2"/>
        <v>2.7845315061919299E-2</v>
      </c>
    </row>
    <row r="20" spans="1:8" s="1" customFormat="1" x14ac:dyDescent="0.25">
      <c r="A20" s="232" t="s">
        <v>69</v>
      </c>
      <c r="B20" s="233" t="s">
        <v>44</v>
      </c>
      <c r="C20" s="196" t="s">
        <v>93</v>
      </c>
      <c r="D20" s="112">
        <v>427900</v>
      </c>
      <c r="E20" s="113">
        <f t="shared" si="0"/>
        <v>0.38026936116702437</v>
      </c>
      <c r="F20" s="213">
        <v>96786.16</v>
      </c>
      <c r="G20" s="113">
        <f t="shared" si="1"/>
        <v>0.22618873568590794</v>
      </c>
      <c r="H20" s="114">
        <f t="shared" si="2"/>
        <v>8.6012646022457132E-2</v>
      </c>
    </row>
    <row r="21" spans="1:8" s="1" customFormat="1" x14ac:dyDescent="0.25">
      <c r="A21" s="232" t="s">
        <v>69</v>
      </c>
      <c r="B21" s="233" t="s">
        <v>44</v>
      </c>
      <c r="C21" s="196" t="s">
        <v>76</v>
      </c>
      <c r="D21" s="112">
        <v>245060</v>
      </c>
      <c r="E21" s="113">
        <f t="shared" si="0"/>
        <v>0.21778174724840146</v>
      </c>
      <c r="F21" s="212">
        <v>51497.38</v>
      </c>
      <c r="G21" s="113">
        <f t="shared" si="1"/>
        <v>0.21014192442667101</v>
      </c>
      <c r="H21" s="114">
        <f t="shared" si="2"/>
        <v>4.5765075471781949E-2</v>
      </c>
    </row>
    <row r="22" spans="1:8" s="1" customFormat="1" x14ac:dyDescent="0.25">
      <c r="A22" s="232" t="s">
        <v>69</v>
      </c>
      <c r="B22" s="233" t="s">
        <v>44</v>
      </c>
      <c r="C22" s="196" t="s">
        <v>72</v>
      </c>
      <c r="D22" s="112">
        <v>50000</v>
      </c>
      <c r="E22" s="113">
        <f t="shared" si="0"/>
        <v>4.4434372653309691E-2</v>
      </c>
      <c r="F22" s="212">
        <v>11801.11</v>
      </c>
      <c r="G22" s="113">
        <f t="shared" si="1"/>
        <v>0.23602220000000002</v>
      </c>
      <c r="H22" s="114">
        <f t="shared" si="2"/>
        <v>1.0487498389253991E-2</v>
      </c>
    </row>
    <row r="23" spans="1:8" s="1" customFormat="1" x14ac:dyDescent="0.25">
      <c r="A23" s="232" t="s">
        <v>69</v>
      </c>
      <c r="B23" s="233" t="s">
        <v>44</v>
      </c>
      <c r="C23" s="196" t="s">
        <v>78</v>
      </c>
      <c r="D23" s="112">
        <v>85725</v>
      </c>
      <c r="E23" s="113">
        <f t="shared" si="0"/>
        <v>7.6182731914099466E-2</v>
      </c>
      <c r="F23" s="213">
        <v>21431.22</v>
      </c>
      <c r="G23" s="113">
        <f t="shared" si="1"/>
        <v>0.24999965004374455</v>
      </c>
      <c r="H23" s="114">
        <f t="shared" si="2"/>
        <v>1.9045656317901276E-2</v>
      </c>
    </row>
    <row r="24" spans="1:8" s="1" customFormat="1" x14ac:dyDescent="0.25">
      <c r="A24" s="232" t="s">
        <v>69</v>
      </c>
      <c r="B24" s="233" t="s">
        <v>44</v>
      </c>
      <c r="C24" s="196" t="s">
        <v>79</v>
      </c>
      <c r="D24" s="112">
        <v>35884</v>
      </c>
      <c r="E24" s="113">
        <f t="shared" si="0"/>
        <v>3.1889660565827302E-2</v>
      </c>
      <c r="F24" s="213">
        <v>8970.99</v>
      </c>
      <c r="G24" s="115">
        <f t="shared" si="1"/>
        <v>0.24999972132426707</v>
      </c>
      <c r="H24" s="114">
        <f t="shared" si="2"/>
        <v>7.9724062545822941E-3</v>
      </c>
    </row>
    <row r="25" spans="1:8" s="1" customFormat="1" x14ac:dyDescent="0.25">
      <c r="A25" s="232" t="s">
        <v>69</v>
      </c>
      <c r="B25" s="233" t="s">
        <v>44</v>
      </c>
      <c r="C25" s="196" t="s">
        <v>162</v>
      </c>
      <c r="D25" s="112">
        <v>10650</v>
      </c>
      <c r="E25" s="113">
        <f t="shared" si="0"/>
        <v>9.4645213751549644E-3</v>
      </c>
      <c r="F25" s="212">
        <v>0</v>
      </c>
      <c r="G25" s="115">
        <f t="shared" si="1"/>
        <v>0</v>
      </c>
      <c r="H25" s="114">
        <f t="shared" si="2"/>
        <v>0</v>
      </c>
    </row>
    <row r="26" spans="1:8" s="1" customFormat="1" ht="21.75" customHeight="1" x14ac:dyDescent="0.25">
      <c r="A26" s="232" t="s">
        <v>69</v>
      </c>
      <c r="B26" s="233" t="s">
        <v>43</v>
      </c>
      <c r="C26" s="196" t="s">
        <v>176</v>
      </c>
      <c r="D26" s="112">
        <v>32036</v>
      </c>
      <c r="E26" s="113">
        <f t="shared" si="0"/>
        <v>2.8469991246428586E-2</v>
      </c>
      <c r="F26" s="212">
        <v>0</v>
      </c>
      <c r="G26" s="115">
        <f t="shared" si="1"/>
        <v>0</v>
      </c>
      <c r="H26" s="114">
        <f t="shared" si="2"/>
        <v>0</v>
      </c>
    </row>
    <row r="27" spans="1:8" s="1" customFormat="1" ht="15.75" x14ac:dyDescent="0.25">
      <c r="A27" s="231" t="s">
        <v>81</v>
      </c>
      <c r="B27" s="230"/>
      <c r="C27" s="117"/>
      <c r="D27" s="118">
        <f>SUM(D12:D26)</f>
        <v>1125255</v>
      </c>
      <c r="E27" s="119">
        <f>D27/$D$27</f>
        <v>1</v>
      </c>
      <c r="F27" s="203">
        <f>SUM(F12:F26)</f>
        <v>230069.93999999997</v>
      </c>
      <c r="G27" s="120">
        <f>F27/D27</f>
        <v>0.20446026900569203</v>
      </c>
      <c r="H27" s="206">
        <f t="shared" si="2"/>
        <v>0.20446026900569203</v>
      </c>
    </row>
    <row r="28" spans="1:8" s="1" customFormat="1" x14ac:dyDescent="0.25">
      <c r="A28" s="232" t="s">
        <v>69</v>
      </c>
      <c r="B28" s="233" t="s">
        <v>43</v>
      </c>
      <c r="C28" s="196" t="s">
        <v>77</v>
      </c>
      <c r="D28" s="121">
        <v>50000</v>
      </c>
      <c r="E28" s="113">
        <f>D28/$D$29</f>
        <v>1</v>
      </c>
      <c r="F28" s="212">
        <v>0</v>
      </c>
      <c r="G28" s="115">
        <f>F28/D28</f>
        <v>0</v>
      </c>
      <c r="H28" s="207">
        <f>F28/D29</f>
        <v>0</v>
      </c>
    </row>
    <row r="29" spans="1:8" s="36" customFormat="1" ht="15.75" x14ac:dyDescent="0.25">
      <c r="A29" s="116" t="s">
        <v>82</v>
      </c>
      <c r="B29" s="195"/>
      <c r="C29" s="117"/>
      <c r="D29" s="118">
        <f>SUM(D28:D28)</f>
        <v>50000</v>
      </c>
      <c r="E29" s="119">
        <f>D29/$D$29</f>
        <v>1</v>
      </c>
      <c r="F29" s="203">
        <f>SUM(F28:F28)</f>
        <v>0</v>
      </c>
      <c r="G29" s="120">
        <f>F29/D29</f>
        <v>0</v>
      </c>
      <c r="H29" s="206">
        <f>F29/D29</f>
        <v>0</v>
      </c>
    </row>
    <row r="30" spans="1:8" x14ac:dyDescent="0.25">
      <c r="A30" s="122"/>
      <c r="B30" s="123"/>
      <c r="C30" s="123"/>
      <c r="D30" s="123"/>
      <c r="E30" s="123"/>
      <c r="F30" s="204"/>
      <c r="G30" s="123"/>
      <c r="H30" s="124"/>
    </row>
    <row r="31" spans="1:8" ht="16.5" thickBot="1" x14ac:dyDescent="0.3">
      <c r="A31" s="125" t="s">
        <v>83</v>
      </c>
      <c r="B31" s="126"/>
      <c r="C31" s="127"/>
      <c r="D31" s="128">
        <f>D27+D29</f>
        <v>1175255</v>
      </c>
      <c r="E31" s="129">
        <f>D31/$D$31</f>
        <v>1</v>
      </c>
      <c r="F31" s="205">
        <f>F27+F29</f>
        <v>230069.93999999997</v>
      </c>
      <c r="G31" s="130">
        <f>F31/D31</f>
        <v>0.1957617197969802</v>
      </c>
      <c r="H31" s="131">
        <f>F31/D31</f>
        <v>0.1957617197969802</v>
      </c>
    </row>
    <row r="32" spans="1:8" x14ac:dyDescent="0.25">
      <c r="A32" t="s">
        <v>121</v>
      </c>
    </row>
  </sheetData>
  <autoFilter ref="A11:H29"/>
  <mergeCells count="5">
    <mergeCell ref="A6:H6"/>
    <mergeCell ref="A7:H7"/>
    <mergeCell ref="A8:H8"/>
    <mergeCell ref="A9:H9"/>
    <mergeCell ref="A10:G10"/>
  </mergeCells>
  <pageMargins left="0.51181102362204722" right="0.51181102362204722" top="0.59055118110236227" bottom="0.59055118110236227" header="0.31496062992125984" footer="0.31496062992125984"/>
  <pageSetup paperSize="9" scale="69" orientation="landscape" r:id="rId1"/>
  <ignoredErrors>
    <ignoredError sqref="G26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5"/>
  <sheetViews>
    <sheetView showGridLines="0" view="pageBreakPreview" topLeftCell="A8" zoomScaleSheetLayoutView="100" workbookViewId="0">
      <selection activeCell="N23" sqref="N23"/>
    </sheetView>
  </sheetViews>
  <sheetFormatPr defaultRowHeight="15" x14ac:dyDescent="0.25"/>
  <cols>
    <col min="1" max="1" width="10.85546875" style="73" bestFit="1" customWidth="1"/>
    <col min="2" max="2" width="13.7109375" style="73" bestFit="1" customWidth="1"/>
    <col min="3" max="13" width="11.42578125" style="73" customWidth="1"/>
    <col min="14" max="14" width="17.140625" style="73" customWidth="1"/>
    <col min="15" max="16384" width="9.140625" style="73"/>
  </cols>
  <sheetData>
    <row r="1" spans="1:14" s="75" customFormat="1" ht="21" x14ac:dyDescent="0.35">
      <c r="G1" s="76"/>
      <c r="H1" s="77"/>
    </row>
    <row r="2" spans="1:14" s="75" customFormat="1" ht="21" x14ac:dyDescent="0.35">
      <c r="G2" s="76"/>
      <c r="H2" s="77"/>
    </row>
    <row r="3" spans="1:14" s="75" customFormat="1" ht="21" x14ac:dyDescent="0.35">
      <c r="G3" s="76"/>
      <c r="H3" s="77"/>
    </row>
    <row r="4" spans="1:14" s="75" customFormat="1" ht="21" x14ac:dyDescent="0.35">
      <c r="G4" s="76"/>
      <c r="H4" s="77"/>
    </row>
    <row r="5" spans="1:14" s="75" customFormat="1" ht="21" x14ac:dyDescent="0.35">
      <c r="G5" s="76"/>
      <c r="H5" s="77"/>
    </row>
    <row r="6" spans="1:14" s="78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s="78" customFormat="1" ht="21" customHeight="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4" s="78" customFormat="1" ht="21" customHeight="1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14" s="78" customFormat="1" ht="21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1:14" s="78" customFormat="1" ht="21.75" customHeight="1" thickBot="1" x14ac:dyDescent="0.4">
      <c r="A10" s="279" t="s">
        <v>128</v>
      </c>
      <c r="B10" s="279"/>
      <c r="C10" s="279"/>
      <c r="D10" s="279"/>
      <c r="E10" s="279"/>
      <c r="F10" s="279"/>
      <c r="G10" s="279"/>
      <c r="H10" s="143"/>
      <c r="I10" s="279"/>
      <c r="J10" s="279"/>
      <c r="K10" s="279"/>
      <c r="L10" s="279"/>
      <c r="M10" s="279"/>
      <c r="N10" s="279"/>
    </row>
    <row r="11" spans="1:14" ht="31.5" customHeight="1" thickBot="1" x14ac:dyDescent="0.3">
      <c r="A11" s="304" t="s">
        <v>168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</row>
    <row r="12" spans="1:14" ht="31.5" customHeight="1" thickBot="1" x14ac:dyDescent="0.3">
      <c r="A12" s="253" t="s">
        <v>111</v>
      </c>
      <c r="B12" s="254" t="s">
        <v>104</v>
      </c>
      <c r="C12" s="254" t="s">
        <v>105</v>
      </c>
      <c r="D12" s="254" t="s">
        <v>106</v>
      </c>
      <c r="E12" s="254" t="s">
        <v>107</v>
      </c>
      <c r="F12" s="254" t="s">
        <v>108</v>
      </c>
      <c r="G12" s="254" t="s">
        <v>109</v>
      </c>
      <c r="H12" s="254" t="s">
        <v>110</v>
      </c>
      <c r="I12" s="254" t="s">
        <v>112</v>
      </c>
      <c r="J12" s="254" t="s">
        <v>113</v>
      </c>
      <c r="K12" s="254" t="s">
        <v>114</v>
      </c>
      <c r="L12" s="254" t="s">
        <v>115</v>
      </c>
      <c r="M12" s="254" t="s">
        <v>116</v>
      </c>
      <c r="N12" s="271" t="s">
        <v>11</v>
      </c>
    </row>
    <row r="13" spans="1:14" ht="31.5" customHeight="1" thickBot="1" x14ac:dyDescent="0.3">
      <c r="A13" s="265">
        <v>2014</v>
      </c>
      <c r="B13" s="268">
        <v>102540.39</v>
      </c>
      <c r="C13" s="269">
        <v>157602.09</v>
      </c>
      <c r="D13" s="269">
        <v>66469.36</v>
      </c>
      <c r="E13" s="269">
        <v>85967.12</v>
      </c>
      <c r="F13" s="269">
        <v>120916.08</v>
      </c>
      <c r="G13" s="269">
        <v>73971.38</v>
      </c>
      <c r="H13" s="269">
        <v>84775.11</v>
      </c>
      <c r="I13" s="269">
        <v>110286</v>
      </c>
      <c r="J13" s="269">
        <v>65652.98</v>
      </c>
      <c r="K13" s="269">
        <v>121800.08</v>
      </c>
      <c r="L13" s="269">
        <v>49853.61</v>
      </c>
      <c r="M13" s="270">
        <v>102483.68</v>
      </c>
      <c r="N13" s="272">
        <f>SUM(B13:M13)</f>
        <v>1142317.8799999999</v>
      </c>
    </row>
    <row r="14" spans="1:14" ht="31.5" customHeight="1" thickBot="1" x14ac:dyDescent="0.3">
      <c r="A14" s="265">
        <v>2015</v>
      </c>
      <c r="B14" s="267">
        <v>115645.97</v>
      </c>
      <c r="C14" s="139">
        <v>159671.28</v>
      </c>
      <c r="D14" s="139">
        <v>101851.21</v>
      </c>
      <c r="E14" s="139">
        <v>91442.12</v>
      </c>
      <c r="F14" s="139">
        <v>93753.14</v>
      </c>
      <c r="G14" s="139">
        <v>83782.45</v>
      </c>
      <c r="H14" s="139">
        <v>85388.82</v>
      </c>
      <c r="I14" s="139">
        <v>63805.98</v>
      </c>
      <c r="J14" s="139">
        <v>67896.72</v>
      </c>
      <c r="K14" s="139">
        <v>64399.97</v>
      </c>
      <c r="L14" s="139">
        <v>51283.97</v>
      </c>
      <c r="M14" s="140">
        <v>53127.519999999997</v>
      </c>
      <c r="N14" s="273">
        <f>SUM(B14:M14)</f>
        <v>1032049.1499999999</v>
      </c>
    </row>
    <row r="15" spans="1:14" ht="28.5" customHeight="1" thickBot="1" x14ac:dyDescent="0.3">
      <c r="A15" s="265">
        <v>2016</v>
      </c>
      <c r="B15" s="260">
        <v>95810.240000000005</v>
      </c>
      <c r="C15" s="247">
        <v>132769.26</v>
      </c>
      <c r="D15" s="247">
        <v>93104.24</v>
      </c>
      <c r="E15" s="247">
        <v>85829.01</v>
      </c>
      <c r="F15" s="247">
        <v>81155.570000000007</v>
      </c>
      <c r="G15" s="247">
        <v>89337.59</v>
      </c>
      <c r="H15" s="247">
        <v>60562.13</v>
      </c>
      <c r="I15" s="247">
        <v>73191.360000000001</v>
      </c>
      <c r="J15" s="247">
        <v>118134.86</v>
      </c>
      <c r="K15" s="247">
        <v>68261.34</v>
      </c>
      <c r="L15" s="266">
        <v>68325.509999999995</v>
      </c>
      <c r="M15" s="250">
        <f>83094.18</f>
        <v>83094.179999999993</v>
      </c>
      <c r="N15" s="272">
        <f>SUM(B15:M15)</f>
        <v>1049575.29</v>
      </c>
    </row>
    <row r="16" spans="1:14" ht="28.5" customHeight="1" thickBot="1" x14ac:dyDescent="0.3">
      <c r="A16" s="265" t="s">
        <v>175</v>
      </c>
      <c r="B16" s="267">
        <v>117209.37</v>
      </c>
      <c r="C16" s="139">
        <v>171257.91</v>
      </c>
      <c r="D16" s="139">
        <v>92107.199999999997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273">
        <f>SUM(B16:M16)</f>
        <v>380574.48000000004</v>
      </c>
    </row>
    <row r="17" spans="1:14" ht="15.75" thickBot="1" x14ac:dyDescent="0.3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31.5" customHeight="1" thickBot="1" x14ac:dyDescent="0.3">
      <c r="A18" s="304" t="s">
        <v>169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</row>
    <row r="19" spans="1:14" ht="31.5" customHeight="1" thickBot="1" x14ac:dyDescent="0.3">
      <c r="A19" s="253" t="s">
        <v>111</v>
      </c>
      <c r="B19" s="254" t="s">
        <v>104</v>
      </c>
      <c r="C19" s="254" t="s">
        <v>105</v>
      </c>
      <c r="D19" s="254" t="s">
        <v>106</v>
      </c>
      <c r="E19" s="254" t="s">
        <v>107</v>
      </c>
      <c r="F19" s="254" t="s">
        <v>108</v>
      </c>
      <c r="G19" s="254" t="s">
        <v>109</v>
      </c>
      <c r="H19" s="254" t="s">
        <v>110</v>
      </c>
      <c r="I19" s="254" t="s">
        <v>112</v>
      </c>
      <c r="J19" s="254" t="s">
        <v>113</v>
      </c>
      <c r="K19" s="254" t="s">
        <v>114</v>
      </c>
      <c r="L19" s="254" t="s">
        <v>115</v>
      </c>
      <c r="M19" s="254" t="s">
        <v>116</v>
      </c>
      <c r="N19" s="271" t="s">
        <v>11</v>
      </c>
    </row>
    <row r="20" spans="1:14" ht="31.5" customHeight="1" thickBot="1" x14ac:dyDescent="0.3">
      <c r="A20" s="265">
        <v>2014</v>
      </c>
      <c r="B20" s="268">
        <v>102540.39</v>
      </c>
      <c r="C20" s="269">
        <f>157602.09-10075.22</f>
        <v>147526.87</v>
      </c>
      <c r="D20" s="269">
        <v>66469.36</v>
      </c>
      <c r="E20" s="269">
        <f>85967.12-10075.22</f>
        <v>75891.899999999994</v>
      </c>
      <c r="F20" s="269">
        <f>120916.08-36978.81</f>
        <v>83937.27</v>
      </c>
      <c r="G20" s="269">
        <v>73971.38</v>
      </c>
      <c r="H20" s="269">
        <f>84775.11-19043.08</f>
        <v>65732.03</v>
      </c>
      <c r="I20" s="269">
        <f>110286-38086.16</f>
        <v>72199.839999999997</v>
      </c>
      <c r="J20" s="269">
        <v>65652.98</v>
      </c>
      <c r="K20" s="269">
        <f>121800.08-57129.24</f>
        <v>64670.840000000004</v>
      </c>
      <c r="L20" s="269">
        <v>49853.61</v>
      </c>
      <c r="M20" s="269">
        <f>102483.68-38086.16</f>
        <v>64397.51999999999</v>
      </c>
      <c r="N20" s="272">
        <f>SUM(B20:M20)</f>
        <v>932843.99</v>
      </c>
    </row>
    <row r="21" spans="1:14" ht="31.5" customHeight="1" thickBot="1" x14ac:dyDescent="0.3">
      <c r="A21" s="265">
        <v>2015</v>
      </c>
      <c r="B21" s="267">
        <v>115645.97</v>
      </c>
      <c r="C21" s="139">
        <f>159671.28-250.11</f>
        <v>159421.17000000001</v>
      </c>
      <c r="D21" s="139">
        <v>101851.21</v>
      </c>
      <c r="E21" s="139">
        <v>91442.12</v>
      </c>
      <c r="F21" s="139">
        <v>93753.14</v>
      </c>
      <c r="G21" s="139">
        <v>83782.45</v>
      </c>
      <c r="H21" s="139">
        <v>85388.82</v>
      </c>
      <c r="I21" s="139">
        <v>63805.98</v>
      </c>
      <c r="J21" s="139">
        <v>67896.72</v>
      </c>
      <c r="K21" s="139">
        <v>64399.97</v>
      </c>
      <c r="L21" s="139">
        <v>51283.97</v>
      </c>
      <c r="M21" s="139">
        <v>53127.519999999997</v>
      </c>
      <c r="N21" s="273">
        <f>SUM(B21:M21)</f>
        <v>1031799.0399999998</v>
      </c>
    </row>
    <row r="22" spans="1:14" ht="28.5" customHeight="1" thickBot="1" x14ac:dyDescent="0.3">
      <c r="A22" s="265">
        <v>2016</v>
      </c>
      <c r="B22" s="260">
        <v>95810.240000000005</v>
      </c>
      <c r="C22" s="247">
        <v>132769.26</v>
      </c>
      <c r="D22" s="247">
        <v>93104.24</v>
      </c>
      <c r="E22" s="247">
        <v>85829.01</v>
      </c>
      <c r="F22" s="247">
        <v>81155.570000000007</v>
      </c>
      <c r="G22" s="247">
        <v>89337.59</v>
      </c>
      <c r="H22" s="247">
        <v>60562.13</v>
      </c>
      <c r="I22" s="247">
        <f>73191.36-3879.26</f>
        <v>69312.100000000006</v>
      </c>
      <c r="J22" s="247">
        <f>118134.86-49930.67</f>
        <v>68204.19</v>
      </c>
      <c r="K22" s="247">
        <f>68261.34-6241.33</f>
        <v>62020.009999999995</v>
      </c>
      <c r="L22" s="266">
        <f>68325.51-6241.33</f>
        <v>62084.179999999993</v>
      </c>
      <c r="M22" s="250">
        <f>83094.18-6241.33-6241.37</f>
        <v>70611.48</v>
      </c>
      <c r="N22" s="272">
        <f>SUM(B22:M22)</f>
        <v>970800</v>
      </c>
    </row>
    <row r="23" spans="1:14" ht="28.5" customHeight="1" thickBot="1" x14ac:dyDescent="0.3">
      <c r="A23" s="265" t="s">
        <v>175</v>
      </c>
      <c r="B23" s="259">
        <f>117209.37-6859.58</f>
        <v>110349.79</v>
      </c>
      <c r="C23" s="132">
        <f>171257.91-6859.58</f>
        <v>164398.33000000002</v>
      </c>
      <c r="D23" s="132">
        <v>92107.199999999997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273">
        <f>SUM(B23:M23)</f>
        <v>366855.32</v>
      </c>
    </row>
    <row r="25" spans="1:14" x14ac:dyDescent="0.25">
      <c r="K25" s="70"/>
      <c r="L25" s="70"/>
      <c r="M25" s="70"/>
    </row>
  </sheetData>
  <mergeCells count="8">
    <mergeCell ref="A6:N6"/>
    <mergeCell ref="A11:N11"/>
    <mergeCell ref="A18:N18"/>
    <mergeCell ref="A7:N7"/>
    <mergeCell ref="A8:N8"/>
    <mergeCell ref="A9:N9"/>
    <mergeCell ref="A10:G10"/>
    <mergeCell ref="I10:N1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7"/>
  <sheetViews>
    <sheetView showGridLines="0" view="pageBreakPreview" topLeftCell="A4" zoomScaleSheetLayoutView="100" workbookViewId="0">
      <selection activeCell="B22" sqref="B22:D22"/>
    </sheetView>
  </sheetViews>
  <sheetFormatPr defaultRowHeight="15" x14ac:dyDescent="0.25"/>
  <cols>
    <col min="1" max="1" width="10.85546875" style="69" bestFit="1" customWidth="1"/>
    <col min="2" max="13" width="11.42578125" style="69" customWidth="1"/>
    <col min="14" max="14" width="17.140625" style="69" customWidth="1"/>
    <col min="15" max="16384" width="9.140625" style="69"/>
  </cols>
  <sheetData>
    <row r="1" spans="1:14" s="75" customFormat="1" ht="21" x14ac:dyDescent="0.35">
      <c r="G1" s="76"/>
      <c r="H1" s="77"/>
    </row>
    <row r="2" spans="1:14" s="75" customFormat="1" ht="21" x14ac:dyDescent="0.35">
      <c r="G2" s="76"/>
      <c r="H2" s="77"/>
    </row>
    <row r="3" spans="1:14" s="75" customFormat="1" ht="21" x14ac:dyDescent="0.35">
      <c r="G3" s="76"/>
      <c r="H3" s="77"/>
    </row>
    <row r="4" spans="1:14" s="75" customFormat="1" ht="21" x14ac:dyDescent="0.35">
      <c r="G4" s="76"/>
      <c r="H4" s="77"/>
    </row>
    <row r="5" spans="1:14" s="75" customFormat="1" ht="21" x14ac:dyDescent="0.35">
      <c r="G5" s="76"/>
      <c r="H5" s="77"/>
    </row>
    <row r="6" spans="1:14" s="78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s="78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4" s="78" customFormat="1" ht="21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14" s="78" customFormat="1" ht="21" customHeight="1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1:14" s="78" customFormat="1" ht="21.75" customHeight="1" thickBot="1" x14ac:dyDescent="0.4">
      <c r="A10" s="279" t="s">
        <v>126</v>
      </c>
      <c r="B10" s="279"/>
      <c r="C10" s="279"/>
      <c r="D10" s="279"/>
      <c r="E10" s="279"/>
      <c r="F10" s="279"/>
      <c r="G10" s="279"/>
      <c r="H10" s="143"/>
      <c r="I10" s="279"/>
      <c r="J10" s="279"/>
      <c r="K10" s="279"/>
      <c r="L10" s="279"/>
      <c r="M10" s="279"/>
      <c r="N10" s="279"/>
    </row>
    <row r="11" spans="1:14" ht="31.5" customHeight="1" thickBot="1" x14ac:dyDescent="0.3">
      <c r="A11" s="304" t="s">
        <v>164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</row>
    <row r="12" spans="1:14" ht="31.5" customHeight="1" thickBot="1" x14ac:dyDescent="0.3">
      <c r="A12" s="253" t="s">
        <v>111</v>
      </c>
      <c r="B12" s="254" t="s">
        <v>104</v>
      </c>
      <c r="C12" s="254" t="s">
        <v>105</v>
      </c>
      <c r="D12" s="254" t="s">
        <v>106</v>
      </c>
      <c r="E12" s="254" t="s">
        <v>107</v>
      </c>
      <c r="F12" s="254" t="s">
        <v>108</v>
      </c>
      <c r="G12" s="254" t="s">
        <v>109</v>
      </c>
      <c r="H12" s="254" t="s">
        <v>110</v>
      </c>
      <c r="I12" s="254" t="s">
        <v>112</v>
      </c>
      <c r="J12" s="254" t="s">
        <v>113</v>
      </c>
      <c r="K12" s="254" t="s">
        <v>114</v>
      </c>
      <c r="L12" s="254" t="s">
        <v>115</v>
      </c>
      <c r="M12" s="254" t="s">
        <v>116</v>
      </c>
      <c r="N12" s="255" t="s">
        <v>11</v>
      </c>
    </row>
    <row r="13" spans="1:14" ht="31.5" customHeight="1" thickBot="1" x14ac:dyDescent="0.3">
      <c r="A13" s="265">
        <v>2014</v>
      </c>
      <c r="B13" s="258">
        <v>32735.52</v>
      </c>
      <c r="C13" s="251">
        <v>83858.740000000005</v>
      </c>
      <c r="D13" s="251">
        <v>56915.93</v>
      </c>
      <c r="E13" s="251">
        <v>63829.45</v>
      </c>
      <c r="F13" s="251">
        <v>96129.68</v>
      </c>
      <c r="G13" s="251">
        <v>53808.21</v>
      </c>
      <c r="H13" s="251">
        <v>52806.17</v>
      </c>
      <c r="I13" s="251">
        <v>65116.83</v>
      </c>
      <c r="J13" s="251">
        <v>62187.4</v>
      </c>
      <c r="K13" s="251">
        <v>581538.56000000006</v>
      </c>
      <c r="L13" s="251">
        <v>75257.73</v>
      </c>
      <c r="M13" s="252">
        <v>81993.33</v>
      </c>
      <c r="N13" s="256">
        <f>SUM(B13:M13)</f>
        <v>1306177.5500000003</v>
      </c>
    </row>
    <row r="14" spans="1:14" ht="31.5" customHeight="1" thickBot="1" x14ac:dyDescent="0.3">
      <c r="A14" s="265">
        <v>2015</v>
      </c>
      <c r="B14" s="259">
        <v>31979.34</v>
      </c>
      <c r="C14" s="132">
        <v>71601.05</v>
      </c>
      <c r="D14" s="132">
        <v>72418.33</v>
      </c>
      <c r="E14" s="132">
        <v>61569.82</v>
      </c>
      <c r="F14" s="132">
        <v>68698.52</v>
      </c>
      <c r="G14" s="132">
        <v>69689.14</v>
      </c>
      <c r="H14" s="132">
        <v>70245.13</v>
      </c>
      <c r="I14" s="132">
        <v>82776.009999999995</v>
      </c>
      <c r="J14" s="132">
        <v>81743.75</v>
      </c>
      <c r="K14" s="132">
        <v>65534.35</v>
      </c>
      <c r="L14" s="132">
        <v>101076.71</v>
      </c>
      <c r="M14" s="249">
        <v>180517.37</v>
      </c>
      <c r="N14" s="257">
        <f>SUM(B14:M14)</f>
        <v>957849.5199999999</v>
      </c>
    </row>
    <row r="15" spans="1:14" ht="28.5" customHeight="1" thickBot="1" x14ac:dyDescent="0.3">
      <c r="A15" s="265">
        <v>2016</v>
      </c>
      <c r="B15" s="261">
        <v>59428.71</v>
      </c>
      <c r="C15" s="71">
        <v>116089.8</v>
      </c>
      <c r="D15" s="71">
        <v>84396.03</v>
      </c>
      <c r="E15" s="71">
        <v>105828.97</v>
      </c>
      <c r="F15" s="71">
        <v>135107.85999999999</v>
      </c>
      <c r="G15" s="71">
        <v>127064.79</v>
      </c>
      <c r="H15" s="71">
        <v>146545.87</v>
      </c>
      <c r="I15" s="71">
        <v>131238.82</v>
      </c>
      <c r="J15" s="71">
        <v>71176.639999999999</v>
      </c>
      <c r="K15" s="71">
        <v>71650.240000000005</v>
      </c>
      <c r="L15" s="71">
        <v>81314.240000000005</v>
      </c>
      <c r="M15" s="248">
        <v>141843.25</v>
      </c>
      <c r="N15" s="256">
        <f>SUM(B15:M15)</f>
        <v>1271685.2200000002</v>
      </c>
    </row>
    <row r="16" spans="1:14" s="73" customFormat="1" ht="28.5" customHeight="1" thickBot="1" x14ac:dyDescent="0.3">
      <c r="A16" s="265" t="s">
        <v>175</v>
      </c>
      <c r="B16" s="259">
        <v>63635.839999999997</v>
      </c>
      <c r="C16" s="132">
        <v>59866.41</v>
      </c>
      <c r="D16" s="132">
        <v>106324.73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249">
        <v>0</v>
      </c>
      <c r="N16" s="257">
        <f>SUM(B16:M16)</f>
        <v>229826.97999999998</v>
      </c>
    </row>
    <row r="17" spans="1:14" ht="15.75" thickBot="1" x14ac:dyDescent="0.3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31.5" customHeight="1" thickBot="1" x14ac:dyDescent="0.3">
      <c r="A18" s="304" t="s">
        <v>167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</row>
    <row r="19" spans="1:14" ht="31.5" customHeight="1" thickBot="1" x14ac:dyDescent="0.3">
      <c r="A19" s="262" t="s">
        <v>111</v>
      </c>
      <c r="B19" s="263" t="s">
        <v>104</v>
      </c>
      <c r="C19" s="263" t="s">
        <v>105</v>
      </c>
      <c r="D19" s="263" t="s">
        <v>106</v>
      </c>
      <c r="E19" s="263" t="s">
        <v>107</v>
      </c>
      <c r="F19" s="263" t="s">
        <v>108</v>
      </c>
      <c r="G19" s="263" t="s">
        <v>109</v>
      </c>
      <c r="H19" s="263" t="s">
        <v>110</v>
      </c>
      <c r="I19" s="263" t="s">
        <v>112</v>
      </c>
      <c r="J19" s="263" t="s">
        <v>113</v>
      </c>
      <c r="K19" s="263" t="s">
        <v>114</v>
      </c>
      <c r="L19" s="263" t="s">
        <v>115</v>
      </c>
      <c r="M19" s="263" t="s">
        <v>116</v>
      </c>
      <c r="N19" s="264" t="s">
        <v>11</v>
      </c>
    </row>
    <row r="20" spans="1:14" ht="31.5" customHeight="1" thickBot="1" x14ac:dyDescent="0.3">
      <c r="A20" s="265">
        <v>2014</v>
      </c>
      <c r="B20" s="258">
        <v>32735.52</v>
      </c>
      <c r="C20" s="251">
        <f>83858.74-4098</f>
        <v>79760.740000000005</v>
      </c>
      <c r="D20" s="251">
        <v>56915.93</v>
      </c>
      <c r="E20" s="251">
        <f>63829.45-7895</f>
        <v>55934.45</v>
      </c>
      <c r="F20" s="251">
        <v>96129.68</v>
      </c>
      <c r="G20" s="251">
        <v>53808.21</v>
      </c>
      <c r="H20" s="251">
        <v>52806.17</v>
      </c>
      <c r="I20" s="251">
        <v>65116.83</v>
      </c>
      <c r="J20" s="251">
        <v>62187.4</v>
      </c>
      <c r="K20" s="251">
        <f>581538.56-520000</f>
        <v>61538.560000000056</v>
      </c>
      <c r="L20" s="251">
        <v>75257.73</v>
      </c>
      <c r="M20" s="252">
        <v>81993.33</v>
      </c>
      <c r="N20" s="256">
        <f>SUM(B20:M20)</f>
        <v>774184.55</v>
      </c>
    </row>
    <row r="21" spans="1:14" ht="31.5" customHeight="1" thickBot="1" x14ac:dyDescent="0.3">
      <c r="A21" s="265">
        <v>2015</v>
      </c>
      <c r="B21" s="259">
        <v>31979.34</v>
      </c>
      <c r="C21" s="132">
        <v>71601.05</v>
      </c>
      <c r="D21" s="132">
        <v>72418.33</v>
      </c>
      <c r="E21" s="132">
        <v>61569.82</v>
      </c>
      <c r="F21" s="132">
        <v>68698.52</v>
      </c>
      <c r="G21" s="132">
        <v>69689.14</v>
      </c>
      <c r="H21" s="132">
        <v>70245.13</v>
      </c>
      <c r="I21" s="132">
        <v>82776.009999999995</v>
      </c>
      <c r="J21" s="132">
        <v>81743.75</v>
      </c>
      <c r="K21" s="132">
        <v>65534.35</v>
      </c>
      <c r="L21" s="132">
        <v>101076.71</v>
      </c>
      <c r="M21" s="249">
        <v>180517.37</v>
      </c>
      <c r="N21" s="257">
        <f>SUM(B21:M21)</f>
        <v>957849.5199999999</v>
      </c>
    </row>
    <row r="22" spans="1:14" ht="28.5" customHeight="1" thickBot="1" x14ac:dyDescent="0.3">
      <c r="A22" s="265">
        <v>2016</v>
      </c>
      <c r="B22" s="260">
        <v>59428.71</v>
      </c>
      <c r="C22" s="247">
        <f>116089.8-28574.35</f>
        <v>87515.450000000012</v>
      </c>
      <c r="D22" s="247">
        <v>84396.03</v>
      </c>
      <c r="E22" s="247">
        <f>105828.97-24062.66</f>
        <v>81766.31</v>
      </c>
      <c r="F22" s="247">
        <f>135107.86-47178.86</f>
        <v>87928.999999999985</v>
      </c>
      <c r="G22" s="247">
        <f>127064.79-48394.74</f>
        <v>78670.049999999988</v>
      </c>
      <c r="H22" s="247">
        <f>146545.87-75380.51</f>
        <v>71165.36</v>
      </c>
      <c r="I22" s="247">
        <v>77502.880000000005</v>
      </c>
      <c r="J22" s="247">
        <v>71176.639999999999</v>
      </c>
      <c r="K22" s="247">
        <v>71650.240000000005</v>
      </c>
      <c r="L22" s="247">
        <f>81314.24-7540</f>
        <v>73774.240000000005</v>
      </c>
      <c r="M22" s="250">
        <v>141843.25</v>
      </c>
      <c r="N22" s="256">
        <f>SUM(B22:M22)</f>
        <v>986818.16</v>
      </c>
    </row>
    <row r="23" spans="1:14" s="73" customFormat="1" ht="28.5" customHeight="1" thickBot="1" x14ac:dyDescent="0.3">
      <c r="A23" s="265" t="s">
        <v>175</v>
      </c>
      <c r="B23" s="259">
        <v>63635.839999999997</v>
      </c>
      <c r="C23" s="132">
        <v>59866.41</v>
      </c>
      <c r="D23" s="132">
        <v>106324.73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249">
        <v>0</v>
      </c>
      <c r="N23" s="257">
        <f>SUM(B23:M23)</f>
        <v>229826.97999999998</v>
      </c>
    </row>
    <row r="24" spans="1:14" x14ac:dyDescent="0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x14ac:dyDescent="0.25">
      <c r="A25" s="141"/>
      <c r="B25" s="141"/>
      <c r="C25" s="141"/>
      <c r="D25" s="142"/>
      <c r="E25" s="141"/>
      <c r="F25" s="141"/>
      <c r="G25" s="141"/>
      <c r="H25" s="142"/>
      <c r="I25" s="142"/>
      <c r="J25" s="141"/>
      <c r="K25" s="142"/>
      <c r="L25" s="142"/>
      <c r="M25" s="142"/>
      <c r="N25" s="141"/>
    </row>
    <row r="26" spans="1:14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</row>
    <row r="27" spans="1:14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</row>
  </sheetData>
  <mergeCells count="8">
    <mergeCell ref="A18:N18"/>
    <mergeCell ref="A11:N11"/>
    <mergeCell ref="A6:N6"/>
    <mergeCell ref="A7:N7"/>
    <mergeCell ref="A8:N8"/>
    <mergeCell ref="A9:N9"/>
    <mergeCell ref="A10:G10"/>
    <mergeCell ref="I10:N10"/>
  </mergeCells>
  <pageMargins left="0.11811023622047245" right="0.11811023622047245" top="0.78740157480314965" bottom="0.78740157480314965" header="0.31496062992125984" footer="0.31496062992125984"/>
  <pageSetup paperSize="9" scale="82" orientation="landscape" r:id="rId1"/>
  <colBreaks count="1" manualBreakCount="1">
    <brk id="14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4"/>
  <sheetViews>
    <sheetView showGridLines="0" view="pageBreakPreview" zoomScaleSheetLayoutView="100" workbookViewId="0">
      <selection activeCell="B13" sqref="B13:C13"/>
    </sheetView>
  </sheetViews>
  <sheetFormatPr defaultRowHeight="15.75" x14ac:dyDescent="0.25"/>
  <cols>
    <col min="1" max="1" width="25.7109375" style="67" customWidth="1"/>
    <col min="2" max="4" width="13.28515625" style="68" customWidth="1"/>
    <col min="5" max="8" width="13.28515625" style="67" customWidth="1"/>
    <col min="9" max="16384" width="9.140625" style="67"/>
  </cols>
  <sheetData>
    <row r="1" spans="1:14" s="75" customFormat="1" ht="21" x14ac:dyDescent="0.35">
      <c r="G1" s="76"/>
      <c r="H1" s="77"/>
    </row>
    <row r="2" spans="1:14" s="75" customFormat="1" ht="21" x14ac:dyDescent="0.35">
      <c r="G2" s="76"/>
      <c r="H2" s="77"/>
    </row>
    <row r="3" spans="1:14" s="75" customFormat="1" ht="21" x14ac:dyDescent="0.35">
      <c r="G3" s="76"/>
      <c r="H3" s="77"/>
    </row>
    <row r="4" spans="1:14" s="75" customFormat="1" ht="21" x14ac:dyDescent="0.35">
      <c r="G4" s="76"/>
      <c r="H4" s="77"/>
    </row>
    <row r="5" spans="1:14" s="75" customFormat="1" ht="21" x14ac:dyDescent="0.35">
      <c r="G5" s="76"/>
      <c r="H5" s="77"/>
    </row>
    <row r="6" spans="1:14" s="78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75"/>
      <c r="J6" s="75"/>
      <c r="K6" s="75"/>
      <c r="L6" s="75"/>
      <c r="M6" s="75"/>
      <c r="N6" s="75"/>
    </row>
    <row r="7" spans="1:14" s="78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75"/>
      <c r="J7" s="75"/>
      <c r="K7" s="75"/>
      <c r="L7" s="75"/>
      <c r="M7" s="75"/>
      <c r="N7" s="75"/>
    </row>
    <row r="8" spans="1:14" s="78" customFormat="1" ht="21" customHeight="1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  <c r="I8" s="75"/>
      <c r="J8" s="75"/>
      <c r="K8" s="75"/>
      <c r="L8" s="75"/>
      <c r="M8" s="75"/>
      <c r="N8" s="75"/>
    </row>
    <row r="9" spans="1:14" s="78" customFormat="1" ht="21" customHeight="1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  <c r="I9" s="75"/>
      <c r="J9" s="75"/>
      <c r="K9" s="75"/>
      <c r="L9" s="75"/>
      <c r="M9" s="75"/>
      <c r="N9" s="75"/>
    </row>
    <row r="10" spans="1:14" s="78" customFormat="1" ht="21" customHeight="1" x14ac:dyDescent="0.35">
      <c r="A10" s="279" t="s">
        <v>127</v>
      </c>
      <c r="B10" s="279"/>
      <c r="C10" s="279"/>
      <c r="D10" s="279"/>
      <c r="E10" s="279"/>
      <c r="F10" s="279"/>
      <c r="G10" s="279"/>
      <c r="H10" s="279"/>
      <c r="I10" s="75"/>
      <c r="J10" s="75"/>
      <c r="K10" s="75"/>
      <c r="L10" s="75"/>
      <c r="M10" s="75"/>
      <c r="N10" s="75"/>
    </row>
    <row r="11" spans="1:14" ht="33" customHeight="1" x14ac:dyDescent="0.25">
      <c r="A11" s="133"/>
      <c r="B11" s="307" t="s">
        <v>184</v>
      </c>
      <c r="C11" s="307"/>
      <c r="D11" s="307" t="s">
        <v>185</v>
      </c>
      <c r="E11" s="307"/>
      <c r="F11" s="307" t="s">
        <v>97</v>
      </c>
      <c r="G11" s="307"/>
      <c r="H11" s="137" t="s">
        <v>103</v>
      </c>
    </row>
    <row r="12" spans="1:14" ht="28.5" customHeight="1" x14ac:dyDescent="0.25">
      <c r="A12" s="134" t="s">
        <v>123</v>
      </c>
      <c r="B12" s="308">
        <f>SUM('Receita Mês X Mês'!B15:D15)</f>
        <v>321683.74</v>
      </c>
      <c r="C12" s="308"/>
      <c r="D12" s="308">
        <f>SUM('Receita Mês X Mês'!B16:D16)</f>
        <v>380574.48000000004</v>
      </c>
      <c r="E12" s="308"/>
      <c r="F12" s="310">
        <f>D12-B12</f>
        <v>58890.740000000049</v>
      </c>
      <c r="G12" s="310"/>
      <c r="H12" s="135">
        <f>D12/B12</f>
        <v>1.1830703037710268</v>
      </c>
    </row>
    <row r="13" spans="1:14" ht="28.5" customHeight="1" x14ac:dyDescent="0.25">
      <c r="A13" s="134" t="s">
        <v>124</v>
      </c>
      <c r="B13" s="308">
        <f>SUM('Despesas Mês X Mês'!B22:D22)</f>
        <v>231340.19</v>
      </c>
      <c r="C13" s="308"/>
      <c r="D13" s="308">
        <f>SUM('Despesas Mês X Mês'!B23:D23)</f>
        <v>229826.97999999998</v>
      </c>
      <c r="E13" s="308"/>
      <c r="F13" s="311">
        <f>D13-B13</f>
        <v>-1513.210000000021</v>
      </c>
      <c r="G13" s="311"/>
      <c r="H13" s="135">
        <f>D13/B13</f>
        <v>0.9934589402731967</v>
      </c>
    </row>
    <row r="14" spans="1:14" ht="36" customHeight="1" x14ac:dyDescent="0.25">
      <c r="A14" s="137" t="s">
        <v>125</v>
      </c>
      <c r="B14" s="309">
        <f>B12-B13</f>
        <v>90343.549999999988</v>
      </c>
      <c r="C14" s="309"/>
      <c r="D14" s="309">
        <f>D12-D13</f>
        <v>150747.50000000006</v>
      </c>
      <c r="E14" s="309"/>
      <c r="F14" s="312">
        <f>D14-B14</f>
        <v>60403.95000000007</v>
      </c>
      <c r="G14" s="312"/>
      <c r="H14" s="136">
        <f>D14/B14</f>
        <v>1.6686027945547866</v>
      </c>
    </row>
  </sheetData>
  <mergeCells count="17">
    <mergeCell ref="B11:C11"/>
    <mergeCell ref="B12:C12"/>
    <mergeCell ref="B13:C13"/>
    <mergeCell ref="B14:C14"/>
    <mergeCell ref="F12:G12"/>
    <mergeCell ref="F13:G13"/>
    <mergeCell ref="F14:G14"/>
    <mergeCell ref="D11:E11"/>
    <mergeCell ref="D12:E12"/>
    <mergeCell ref="D13:E13"/>
    <mergeCell ref="D14:E14"/>
    <mergeCell ref="F11:G11"/>
    <mergeCell ref="A6:H6"/>
    <mergeCell ref="A7:H7"/>
    <mergeCell ref="A8:H8"/>
    <mergeCell ref="A9:H9"/>
    <mergeCell ref="A10:H10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6</vt:i4>
      </vt:variant>
    </vt:vector>
  </HeadingPairs>
  <TitlesOfParts>
    <vt:vector size="16" baseType="lpstr">
      <vt:lpstr>Capa</vt:lpstr>
      <vt:lpstr>Dem Fontes e Usos</vt:lpstr>
      <vt:lpstr>2. Exec Plano de Ação</vt:lpstr>
      <vt:lpstr>3. Exec Orçamentária</vt:lpstr>
      <vt:lpstr>AnoXAno</vt:lpstr>
      <vt:lpstr>Exec Orçamentária</vt:lpstr>
      <vt:lpstr>Receita Mês X Mês</vt:lpstr>
      <vt:lpstr>Despesas Mês X Mês</vt:lpstr>
      <vt:lpstr>Receita X Despesa</vt:lpstr>
      <vt:lpstr>Limites Estratéicos</vt:lpstr>
      <vt:lpstr>'Dem Fontes e Usos'!Area_de_impressao</vt:lpstr>
      <vt:lpstr>'Despesas Mês X Mês'!Area_de_impressao</vt:lpstr>
      <vt:lpstr>'Exec Orçamentária'!Area_de_impressao</vt:lpstr>
      <vt:lpstr>'Limites Estratéicos'!Area_de_impressao</vt:lpstr>
      <vt:lpstr>'Receita Mês X Mês'!Area_de_impressao</vt:lpstr>
      <vt:lpstr>'Receita X Despesa'!Area_de_impressao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2017-09-19T18:14:17Z</cp:lastPrinted>
  <dcterms:created xsi:type="dcterms:W3CDTF">2013-07-08T17:53:54Z</dcterms:created>
  <dcterms:modified xsi:type="dcterms:W3CDTF">2017-09-19T18:14:19Z</dcterms:modified>
</cp:coreProperties>
</file>