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20730" windowHeight="10515" tabRatio="843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6">'Receita Mês X Mês'!$A$1:$N$23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A7" i="16" l="1"/>
  <c r="A8" i="16"/>
  <c r="A9" i="16"/>
  <c r="D13" i="16"/>
  <c r="E13" i="16"/>
  <c r="F13" i="16"/>
  <c r="M13" i="16"/>
  <c r="D14" i="16"/>
  <c r="E14" i="16"/>
  <c r="F14" i="16"/>
  <c r="M14" i="16"/>
  <c r="D15" i="16"/>
  <c r="E15" i="16"/>
  <c r="F15" i="16"/>
  <c r="K15" i="16"/>
  <c r="L15" i="16"/>
  <c r="M15" i="16"/>
  <c r="D16" i="16"/>
  <c r="E16" i="16"/>
  <c r="F16" i="16"/>
  <c r="D17" i="16"/>
  <c r="E17" i="16"/>
  <c r="F17" i="16"/>
  <c r="D18" i="16"/>
  <c r="E18" i="16"/>
  <c r="F18" i="16"/>
  <c r="D21" i="16"/>
  <c r="E21" i="16"/>
  <c r="F21" i="16"/>
  <c r="K21" i="16"/>
  <c r="L21" i="16"/>
  <c r="M21" i="16"/>
  <c r="D22" i="16"/>
  <c r="E22" i="16"/>
  <c r="F22" i="16"/>
  <c r="K22" i="16"/>
  <c r="L22" i="16"/>
  <c r="M22" i="16"/>
  <c r="D23" i="16"/>
  <c r="E23" i="16"/>
  <c r="F23" i="16"/>
  <c r="K23" i="16"/>
  <c r="L23" i="16"/>
  <c r="M23" i="16"/>
  <c r="D24" i="16"/>
  <c r="E24" i="16"/>
  <c r="F24" i="16"/>
  <c r="K24" i="16"/>
  <c r="L24" i="16"/>
  <c r="M24" i="16"/>
  <c r="D25" i="16"/>
  <c r="E25" i="16"/>
  <c r="F25" i="16"/>
  <c r="D26" i="16"/>
  <c r="E26" i="16"/>
  <c r="F26" i="16"/>
  <c r="F27" i="16"/>
  <c r="D28" i="16"/>
  <c r="E28" i="16"/>
  <c r="F28" i="16"/>
  <c r="D29" i="16"/>
  <c r="E29" i="16"/>
  <c r="F29" i="16"/>
  <c r="D30" i="16"/>
  <c r="E30" i="16"/>
  <c r="F30" i="16"/>
  <c r="D31" i="16"/>
  <c r="E31" i="16"/>
  <c r="F31" i="16"/>
  <c r="D32" i="16"/>
  <c r="E32" i="16"/>
  <c r="F32" i="16"/>
  <c r="A7" i="12" l="1"/>
  <c r="C23" i="15" l="1"/>
  <c r="C18" i="12"/>
  <c r="F16" i="12"/>
  <c r="C18" i="2"/>
  <c r="B23" i="15" l="1"/>
  <c r="C38" i="2"/>
  <c r="C32" i="2"/>
  <c r="B32" i="2"/>
  <c r="B37" i="2"/>
  <c r="B36" i="2"/>
  <c r="B38" i="2"/>
  <c r="B34" i="2"/>
  <c r="B31" i="2"/>
  <c r="C34" i="2"/>
  <c r="C31" i="2"/>
  <c r="D13" i="10" l="1"/>
  <c r="B13" i="10"/>
  <c r="D12" i="10"/>
  <c r="B12" i="10"/>
  <c r="N16" i="13" l="1"/>
  <c r="N23" i="13"/>
  <c r="N23" i="15"/>
  <c r="D29" i="9" l="1"/>
  <c r="D27" i="9"/>
  <c r="D31" i="9" s="1"/>
  <c r="N16" i="15"/>
  <c r="B18" i="12"/>
  <c r="F24" i="12"/>
  <c r="F23" i="12"/>
  <c r="F21" i="12"/>
  <c r="F20" i="12"/>
  <c r="F17" i="12"/>
  <c r="E26" i="12"/>
  <c r="E20" i="12"/>
  <c r="E24" i="12"/>
  <c r="E23" i="12"/>
  <c r="E21" i="12"/>
  <c r="E18" i="12"/>
  <c r="E17" i="12"/>
  <c r="E16" i="12"/>
  <c r="F18" i="12"/>
  <c r="G21" i="12" l="1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C36" i="2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D23" i="12" l="1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B29" i="2" l="1"/>
  <c r="B39" i="2" s="1"/>
  <c r="F33" i="2"/>
  <c r="D33" i="2"/>
  <c r="D25" i="2"/>
  <c r="F22" i="2"/>
  <c r="D22" i="2"/>
  <c r="F22" i="12"/>
  <c r="B13" i="2"/>
  <c r="G15" i="12"/>
  <c r="H15" i="12"/>
  <c r="D13" i="12"/>
  <c r="H12" i="10"/>
  <c r="C27" i="12"/>
  <c r="F15" i="2"/>
  <c r="F14" i="2" s="1"/>
  <c r="F13" i="2" s="1"/>
  <c r="F27" i="2" s="1"/>
  <c r="C14" i="2"/>
  <c r="D15" i="2"/>
  <c r="B27" i="2" l="1"/>
  <c r="F14" i="12"/>
  <c r="G14" i="12" s="1"/>
  <c r="H22" i="12"/>
  <c r="D27" i="12"/>
  <c r="C13" i="2"/>
  <c r="F13" i="12" s="1"/>
  <c r="D14" i="2"/>
  <c r="H14" i="12" l="1"/>
  <c r="G13" i="12"/>
  <c r="F27" i="12"/>
  <c r="D13" i="2"/>
  <c r="C27" i="2"/>
  <c r="E24" i="2" s="1"/>
  <c r="H13" i="12" l="1"/>
  <c r="G27" i="12"/>
  <c r="H27" i="12"/>
  <c r="E17" i="2"/>
  <c r="E18" i="2"/>
  <c r="E19" i="2"/>
  <c r="E21" i="2"/>
  <c r="E23" i="2"/>
  <c r="E26" i="2"/>
  <c r="E25" i="2" s="1"/>
  <c r="D27" i="2"/>
  <c r="E16" i="2"/>
  <c r="E20" i="2"/>
  <c r="E15" i="2" l="1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5" i="9"/>
  <c r="H17" i="9"/>
  <c r="H20" i="9"/>
  <c r="H22" i="9"/>
  <c r="H24" i="9"/>
  <c r="H26" i="9"/>
  <c r="H12" i="9"/>
  <c r="H14" i="9"/>
  <c r="H16" i="9"/>
  <c r="H18" i="9"/>
  <c r="H19" i="9"/>
  <c r="H21" i="9"/>
  <c r="H23" i="9"/>
  <c r="H25" i="9"/>
  <c r="E24" i="9"/>
  <c r="E20" i="9"/>
  <c r="E17" i="9"/>
  <c r="E13" i="9"/>
  <c r="E26" i="9"/>
  <c r="E22" i="9"/>
  <c r="E15" i="9"/>
  <c r="E31" i="9"/>
  <c r="E27" i="9"/>
  <c r="E25" i="9"/>
  <c r="E23" i="9"/>
  <c r="E21" i="9"/>
  <c r="E19" i="9"/>
  <c r="E18" i="9"/>
  <c r="E16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F12" i="10"/>
  <c r="C40" i="2"/>
  <c r="E39" i="2"/>
  <c r="F39" i="2"/>
  <c r="F40" i="2" s="1"/>
  <c r="K32" i="1"/>
  <c r="F14" i="10" l="1"/>
  <c r="H14" i="10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20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<sst xmlns="http://schemas.openxmlformats.org/spreadsheetml/2006/main" count="393" uniqueCount="186">
  <si>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</si>
  <si>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</si>
  <si>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</si>
  <si>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</si>
  <si>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</si>
  <si>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</si>
  <si>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</si>
  <si>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</si>
  <si>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</si>
  <si>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</si>
  <si>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</si>
  <si>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</si>
  <si>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</si>
  <si>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</si>
  <si>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</si>
  <si>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</si>
  <si>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</si>
  <si>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</si>
  <si>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</si>
  <si>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</si>
  <si>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</si>
  <si>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</si>
  <si>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</si>
  <si>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</si>
  <si>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</si>
  <si>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</si>
  <si>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</si>
  <si>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</si>
  <si>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</si>
  <si>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</si>
  <si>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</si>
  <si>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</si>
  <si>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</si>
  <si>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</si>
  <si>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</si>
  <si>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</si>
  <si>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</si>
  <si>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</si>
  <si>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</si>
  <si>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</si>
  <si>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</si>
  <si>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</si>
  <si>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</si>
  <si>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</si>
  <si>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</si>
  <si>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</si>
  <si>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</si>
  <si>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</si>
  <si>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</si>
  <si>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</si>
  <si>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</si>
  <si>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</si>
  <si>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</si>
  <si>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</si>
  <si>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</si>
  <si>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</si>
  <si>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</si>
  <si>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</si>
  <si>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</si>
  <si>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</si>
  <si>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</si>
  <si>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</si>
  <si>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</si>
  <si>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</si>
  <si>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</si>
  <si>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</si>
  <si>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</si>
  <si>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</si>
  <si>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</si>
  <si>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</si>
  <si>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</si>
  <si>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</si>
  <si>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</si>
  <si>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</si>
  <si>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</si>
  <si>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</si>
  <si>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</si>
  <si>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</si>
  <si>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</si>
  <si>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</si>
  <si>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</si>
  <si>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</si>
  <si>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</si>
  <si>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</si>
  <si>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</si>
  <si>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</si>
  <si>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</si>
  <si>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</si>
  <si>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</si>
  <si>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</si>
  <si>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</si>
  <si>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</si>
  <si>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</si>
  <si>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</si>
  <si>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</si>
  <si>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</si>
  <si>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</si>
  <si>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</si>
  <si>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</si>
  <si>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</si>
  <si>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</si>
  <si>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</si>
  <si>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</si>
  <si>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</si>
  <si>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</si>
  <si>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</si>
  <si>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</si>
  <si>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</si>
  <si>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</si>
  <si>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</si>
  <si>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</si>
  <si>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</si>
  <si>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</si>
  <si>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</si>
  <si>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</si>
  <si>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</si>
  <si>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</si>
  <si>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>Relatório Mensal – Exercício 2016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</si>
  <si>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Administrativo/Financeiro</t>
    </r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</si>
  <si>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</si>
  <si>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</si>
  <si>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</si>
  <si>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</si>
  <si>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</si>
  <si>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</si>
  <si>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</si>
  <si>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</si>
  <si>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</si>
  <si>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</si>
  <si>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</si>
  <si>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</si>
  <si>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</si>
  <si>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</si>
  <si>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</si>
  <si>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</si>
  <si>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</si>
  <si>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</si>
  <si>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</si>
  <si>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</si>
  <si>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</si>
  <si>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</si>
  <si>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</si>
  <si>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</si>
  <si>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</si>
  <si>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</si>
  <si>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</si>
  <si>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</si>
  <si>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</si>
  <si>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</si>
  <si>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</si>
  <si>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</si>
  <si>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</si>
  <si>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</si>
  <si>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</si>
  <si>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</si>
  <si>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</si>
  <si>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</si>
  <si>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</si>
  <si>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</si>
  <si>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</si>
  <si>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</si>
  <si>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</si>
  <si>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</si>
  <si>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</si>
  <si>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</si>
  <si>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</si>
  <si>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</si>
  <si>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</si>
  <si>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</si>
  <si>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</si>
  <si>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</si>
  <si>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</si>
  <si>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</si>
  <si>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</si>
  <si>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</si>
  <si>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</si>
  <si>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</si>
  <si>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</si>
  <si>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</si>
  <si>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</si>
  <si>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t>Realizado até Fev/2017</t>
  </si>
  <si>
    <r>
      <t xml:space="preserve">DATA DE ELABORAÇÃO:  </t>
    </r>
    <r>
      <rPr>
        <sz val="16"/>
        <color theme="1"/>
        <rFont val="Calibri"/>
        <family val="2"/>
        <scheme val="minor"/>
      </rPr>
      <t>29-03-2017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</si>
  <si>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Janeiro e Fevereiro/2017 </t>
    </r>
  </si>
  <si>
    <t>Dia do Arquiteto (Prêmio TFG)</t>
  </si>
  <si>
    <t>Período
01 a 02/2016</t>
  </si>
  <si>
    <t>Período
01 a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</si>
</sst>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3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166" fontId="15" fillId="0" borderId="17" xfId="2" applyNumberFormat="1" applyFont="1" applyBorder="1" applyAlignment="1">
      <alignment horizontal="center" vertical="center"/>
    </xf>
    <xf numFmtId="0" fontId="0" fillId="2" borderId="0" xfId="0" applyFill="1"/>
    <xf numFmtId="0" fontId="20" fillId="2" borderId="0" xfId="0" applyFont="1" applyFill="1"/>
    <xf numFmtId="9" fontId="20" fillId="2" borderId="0" xfId="1" applyFont="1" applyFill="1" applyAlignment="1">
      <alignment horizontal="center"/>
    </xf>
    <xf numFmtId="9" fontId="20" fillId="2" borderId="0" xfId="1" applyFont="1" applyFill="1"/>
    <xf numFmtId="0" fontId="20" fillId="0" borderId="0" xfId="0" applyFont="1"/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9" fontId="19" fillId="3" borderId="1" xfId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/>
    </xf>
    <xf numFmtId="41" fontId="19" fillId="3" borderId="1" xfId="0" applyNumberFormat="1" applyFont="1" applyFill="1" applyBorder="1" applyAlignment="1">
      <alignment vertical="center"/>
    </xf>
    <xf numFmtId="9" fontId="19" fillId="3" borderId="1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 vertical="center"/>
    </xf>
    <xf numFmtId="9" fontId="20" fillId="3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9" fillId="2" borderId="1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 vertical="center"/>
    </xf>
    <xf numFmtId="9" fontId="20" fillId="2" borderId="1" xfId="1" applyFont="1" applyFill="1" applyBorder="1" applyAlignment="1">
      <alignment horizontal="center"/>
    </xf>
    <xf numFmtId="0" fontId="19" fillId="5" borderId="3" xfId="0" applyFont="1" applyFill="1" applyBorder="1" applyAlignment="1">
      <alignment vertical="center"/>
    </xf>
    <xf numFmtId="41" fontId="19" fillId="5" borderId="1" xfId="0" applyNumberFormat="1" applyFont="1" applyFill="1" applyBorder="1" applyAlignment="1">
      <alignment vertical="center"/>
    </xf>
    <xf numFmtId="9" fontId="19" fillId="5" borderId="11" xfId="1" applyFont="1" applyFill="1" applyBorder="1" applyAlignment="1">
      <alignment horizontal="center" vertical="center"/>
    </xf>
    <xf numFmtId="9" fontId="19" fillId="5" borderId="1" xfId="1" applyFont="1" applyFill="1" applyBorder="1" applyAlignment="1">
      <alignment horizontal="center" vertical="center"/>
    </xf>
    <xf numFmtId="9" fontId="19" fillId="5" borderId="1" xfId="1" applyFont="1" applyFill="1" applyBorder="1" applyAlignment="1">
      <alignment horizontal="center"/>
    </xf>
    <xf numFmtId="0" fontId="20" fillId="2" borderId="3" xfId="0" applyFont="1" applyFill="1" applyBorder="1" applyAlignment="1">
      <alignment vertical="center"/>
    </xf>
    <xf numFmtId="41" fontId="20" fillId="2" borderId="1" xfId="0" applyNumberFormat="1" applyFont="1" applyFill="1" applyBorder="1" applyAlignment="1">
      <alignment vertical="center"/>
    </xf>
    <xf numFmtId="9" fontId="19" fillId="2" borderId="3" xfId="1" applyFont="1" applyFill="1" applyBorder="1" applyAlignment="1">
      <alignment horizontal="center" vertical="center"/>
    </xf>
    <xf numFmtId="41" fontId="20" fillId="2" borderId="12" xfId="0" applyNumberFormat="1" applyFont="1" applyFill="1" applyBorder="1" applyAlignment="1">
      <alignment vertical="center"/>
    </xf>
    <xf numFmtId="9" fontId="19" fillId="3" borderId="3" xfId="1" applyFont="1" applyFill="1" applyBorder="1" applyAlignment="1">
      <alignment horizontal="center" vertical="center"/>
    </xf>
    <xf numFmtId="41" fontId="19" fillId="3" borderId="12" xfId="0" applyNumberFormat="1" applyFont="1" applyFill="1" applyBorder="1" applyAlignment="1">
      <alignment vertical="center"/>
    </xf>
    <xf numFmtId="4" fontId="20" fillId="0" borderId="0" xfId="0" applyNumberFormat="1" applyFont="1"/>
    <xf numFmtId="9" fontId="20" fillId="0" borderId="0" xfId="1" applyFont="1" applyAlignment="1">
      <alignment horizontal="center"/>
    </xf>
    <xf numFmtId="9" fontId="20" fillId="0" borderId="0" xfId="1" applyFont="1"/>
    <xf numFmtId="43" fontId="20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41" fontId="3" fillId="3" borderId="13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0" fontId="0" fillId="2" borderId="14" xfId="0" applyFill="1" applyBorder="1"/>
    <xf numFmtId="0" fontId="0" fillId="2" borderId="13" xfId="0" applyFill="1" applyBorder="1"/>
    <xf numFmtId="0" fontId="0" fillId="2" borderId="15" xfId="0" applyFill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41" fontId="3" fillId="3" borderId="17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43" fontId="16" fillId="3" borderId="22" xfId="0" applyNumberFormat="1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/>
    </xf>
    <xf numFmtId="49" fontId="16" fillId="3" borderId="16" xfId="0" applyNumberFormat="1" applyFont="1" applyFill="1" applyBorder="1" applyAlignment="1">
      <alignment horizontal="center" vertical="center"/>
    </xf>
    <xf numFmtId="43" fontId="16" fillId="5" borderId="10" xfId="0" applyNumberFormat="1" applyFont="1" applyFill="1" applyBorder="1" applyAlignment="1">
      <alignment horizontal="center" vertical="center"/>
    </xf>
    <xf numFmtId="166" fontId="22" fillId="5" borderId="20" xfId="2" applyNumberFormat="1" applyFont="1" applyFill="1" applyBorder="1" applyAlignment="1">
      <alignment horizontal="center" vertical="center" wrapText="1"/>
    </xf>
    <xf numFmtId="166" fontId="15" fillId="5" borderId="13" xfId="2" applyNumberFormat="1" applyFont="1" applyFill="1" applyBorder="1" applyAlignment="1">
      <alignment horizontal="center" vertical="center"/>
    </xf>
    <xf numFmtId="166" fontId="22" fillId="5" borderId="20" xfId="2" applyNumberFormat="1" applyFont="1" applyFill="1" applyBorder="1" applyAlignment="1">
      <alignment vertical="center" wrapText="1"/>
    </xf>
    <xf numFmtId="166" fontId="22" fillId="2" borderId="20" xfId="2" applyNumberFormat="1" applyFont="1" applyFill="1" applyBorder="1" applyAlignment="1">
      <alignment vertical="center" wrapText="1"/>
    </xf>
    <xf numFmtId="166" fontId="22" fillId="2" borderId="21" xfId="2" applyNumberFormat="1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readingOrder="1"/>
    </xf>
    <xf numFmtId="9" fontId="12" fillId="0" borderId="13" xfId="1" applyFont="1" applyBorder="1" applyAlignment="1">
      <alignment horizontal="center" vertical="center" readingOrder="1"/>
    </xf>
    <xf numFmtId="9" fontId="13" fillId="3" borderId="13" xfId="1" applyFont="1" applyFill="1" applyBorder="1" applyAlignment="1">
      <alignment horizontal="center" vertical="center" readingOrder="1"/>
    </xf>
    <xf numFmtId="0" fontId="13" fillId="3" borderId="13" xfId="0" applyFont="1" applyFill="1" applyBorder="1" applyAlignment="1">
      <alignment horizontal="center" vertical="center" wrapText="1" readingOrder="1"/>
    </xf>
    <xf numFmtId="9" fontId="19" fillId="3" borderId="1" xfId="1" applyFont="1" applyFill="1" applyBorder="1" applyAlignment="1">
      <alignment horizontal="center"/>
    </xf>
    <xf numFmtId="166" fontId="12" fillId="2" borderId="13" xfId="2" applyNumberFormat="1" applyFont="1" applyFill="1" applyBorder="1" applyAlignment="1">
      <alignment vertical="center"/>
    </xf>
    <xf numFmtId="166" fontId="12" fillId="5" borderId="13" xfId="2" applyNumberFormat="1" applyFont="1" applyFill="1" applyBorder="1" applyAlignment="1">
      <alignment vertical="center"/>
    </xf>
    <xf numFmtId="166" fontId="24" fillId="2" borderId="20" xfId="2" applyNumberFormat="1" applyFont="1" applyFill="1" applyBorder="1" applyAlignment="1">
      <alignment vertical="center" wrapText="1"/>
    </xf>
    <xf numFmtId="166" fontId="24" fillId="5" borderId="20" xfId="2" applyNumberFormat="1" applyFont="1" applyFill="1" applyBorder="1" applyAlignment="1">
      <alignment vertical="center" wrapText="1"/>
    </xf>
    <xf numFmtId="43" fontId="16" fillId="3" borderId="26" xfId="0" applyNumberFormat="1" applyFont="1" applyFill="1" applyBorder="1" applyAlignment="1">
      <alignment horizontal="center" vertical="center"/>
    </xf>
    <xf numFmtId="43" fontId="16" fillId="5" borderId="27" xfId="0" applyNumberFormat="1" applyFont="1" applyFill="1" applyBorder="1" applyAlignment="1">
      <alignment horizontal="center" vertical="center"/>
    </xf>
    <xf numFmtId="166" fontId="22" fillId="5" borderId="29" xfId="2" applyNumberFormat="1" applyFont="1" applyFill="1" applyBorder="1" applyAlignment="1">
      <alignment horizontal="center" vertical="center" wrapText="1"/>
    </xf>
    <xf numFmtId="43" fontId="16" fillId="5" borderId="30" xfId="0" applyNumberFormat="1" applyFont="1" applyFill="1" applyBorder="1" applyAlignment="1">
      <alignment horizontal="center" vertical="center"/>
    </xf>
    <xf numFmtId="166" fontId="12" fillId="2" borderId="3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6" fillId="6" borderId="32" xfId="0" applyFont="1" applyFill="1" applyBorder="1" applyAlignment="1">
      <alignment horizontal="left" vertical="center" wrapText="1"/>
    </xf>
    <xf numFmtId="0" fontId="27" fillId="2" borderId="0" xfId="0" applyFont="1" applyFill="1"/>
    <xf numFmtId="41" fontId="26" fillId="6" borderId="36" xfId="0" applyNumberFormat="1" applyFont="1" applyFill="1" applyBorder="1" applyAlignment="1">
      <alignment horizontal="center" vertical="center" wrapText="1"/>
    </xf>
    <xf numFmtId="41" fontId="26" fillId="6" borderId="37" xfId="0" applyNumberFormat="1" applyFont="1" applyFill="1" applyBorder="1" applyAlignment="1">
      <alignment horizontal="center" vertical="center" wrapText="1"/>
    </xf>
    <xf numFmtId="41" fontId="2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5" fillId="3" borderId="39" xfId="2" applyFont="1" applyFill="1" applyBorder="1" applyAlignment="1">
      <alignment horizontal="left" vertical="center" wrapText="1"/>
    </xf>
    <xf numFmtId="165" fontId="25" fillId="2" borderId="0" xfId="1" applyNumberFormat="1" applyFont="1" applyFill="1" applyBorder="1" applyAlignment="1">
      <alignment horizontal="left" vertical="center" wrapText="1"/>
    </xf>
    <xf numFmtId="41" fontId="25" fillId="2" borderId="27" xfId="0" applyNumberFormat="1" applyFont="1" applyFill="1" applyBorder="1" applyAlignment="1">
      <alignment horizontal="right" vertical="center" wrapText="1"/>
    </xf>
    <xf numFmtId="43" fontId="25" fillId="3" borderId="28" xfId="2" applyFont="1" applyFill="1" applyBorder="1" applyAlignment="1">
      <alignment horizontal="right" vertical="center" wrapText="1"/>
    </xf>
    <xf numFmtId="43" fontId="25" fillId="3" borderId="42" xfId="2" applyFont="1" applyFill="1" applyBorder="1" applyAlignment="1">
      <alignment horizontal="left" vertical="center" wrapText="1"/>
    </xf>
    <xf numFmtId="41" fontId="25" fillId="2" borderId="13" xfId="0" applyNumberFormat="1" applyFont="1" applyFill="1" applyBorder="1" applyAlignment="1">
      <alignment horizontal="left" vertical="center" wrapText="1"/>
    </xf>
    <xf numFmtId="43" fontId="25" fillId="3" borderId="15" xfId="2" applyFont="1" applyFill="1" applyBorder="1" applyAlignment="1">
      <alignment horizontal="right" vertical="center" wrapText="1"/>
    </xf>
    <xf numFmtId="41" fontId="25" fillId="3" borderId="17" xfId="0" applyNumberFormat="1" applyFont="1" applyFill="1" applyBorder="1" applyAlignment="1">
      <alignment horizontal="left" vertical="center" wrapText="1"/>
    </xf>
    <xf numFmtId="43" fontId="25" fillId="3" borderId="18" xfId="2" applyFont="1" applyFill="1" applyBorder="1" applyAlignment="1">
      <alignment horizontal="right" vertical="center" wrapText="1"/>
    </xf>
    <xf numFmtId="166" fontId="25" fillId="2" borderId="0" xfId="2" applyNumberFormat="1" applyFont="1" applyFill="1" applyBorder="1" applyAlignment="1">
      <alignment horizontal="right" vertical="center" wrapText="1"/>
    </xf>
    <xf numFmtId="43" fontId="25" fillId="2" borderId="0" xfId="2" applyFont="1" applyFill="1" applyBorder="1" applyAlignment="1">
      <alignment horizontal="left" vertical="center" wrapText="1"/>
    </xf>
    <xf numFmtId="166" fontId="25" fillId="2" borderId="0" xfId="2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/>
    </xf>
    <xf numFmtId="41" fontId="2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9" fillId="6" borderId="48" xfId="0" applyNumberFormat="1" applyFont="1" applyFill="1" applyBorder="1" applyAlignment="1">
      <alignment horizontal="center" vertical="center" wrapText="1"/>
    </xf>
    <xf numFmtId="41" fontId="29" fillId="6" borderId="49" xfId="0" applyNumberFormat="1" applyFont="1" applyFill="1" applyBorder="1" applyAlignment="1">
      <alignment horizontal="center" vertical="center" wrapText="1"/>
    </xf>
    <xf numFmtId="41" fontId="29" fillId="6" borderId="47" xfId="0" applyNumberFormat="1" applyFont="1" applyFill="1" applyBorder="1" applyAlignment="1">
      <alignment horizontal="center" vertical="center" wrapText="1"/>
    </xf>
    <xf numFmtId="41" fontId="29" fillId="6" borderId="50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>
      <alignment horizontal="right" vertical="center" wrapText="1"/>
    </xf>
    <xf numFmtId="41" fontId="3" fillId="2" borderId="10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3" xfId="0" applyNumberFormat="1" applyFont="1" applyFill="1" applyBorder="1" applyAlignment="1">
      <alignment horizontal="center" vertical="center" wrapText="1"/>
    </xf>
    <xf numFmtId="41" fontId="3" fillId="3" borderId="10" xfId="0" applyNumberFormat="1" applyFont="1" applyFill="1" applyBorder="1" applyAlignment="1">
      <alignment horizontal="right" vertical="center" wrapText="1"/>
    </xf>
    <xf numFmtId="41" fontId="34" fillId="7" borderId="13" xfId="0" applyNumberFormat="1" applyFont="1" applyFill="1" applyBorder="1" applyAlignment="1">
      <alignment horizontal="center" vertical="center" wrapText="1"/>
    </xf>
    <xf numFmtId="165" fontId="3" fillId="3" borderId="13" xfId="2" applyNumberFormat="1" applyFont="1" applyFill="1" applyBorder="1" applyAlignment="1">
      <alignment horizontal="right" vertical="center" wrapText="1"/>
    </xf>
    <xf numFmtId="165" fontId="3" fillId="3" borderId="15" xfId="1" applyNumberFormat="1" applyFont="1" applyFill="1" applyBorder="1" applyAlignment="1">
      <alignment horizontal="right" vertical="center" wrapText="1"/>
    </xf>
    <xf numFmtId="41" fontId="3" fillId="7" borderId="13" xfId="0" applyNumberFormat="1" applyFont="1" applyFill="1" applyBorder="1" applyAlignment="1">
      <alignment horizontal="center" vertical="center" wrapText="1"/>
    </xf>
    <xf numFmtId="165" fontId="3" fillId="3" borderId="13" xfId="1" applyNumberFormat="1" applyFont="1" applyFill="1" applyBorder="1" applyAlignment="1">
      <alignment horizontal="right" vertical="center" wrapText="1"/>
    </xf>
    <xf numFmtId="166" fontId="3" fillId="2" borderId="13" xfId="2" applyNumberFormat="1" applyFont="1" applyFill="1" applyBorder="1" applyAlignment="1">
      <alignment horizontal="right" vertical="center" wrapText="1"/>
    </xf>
    <xf numFmtId="41" fontId="3" fillId="2" borderId="13" xfId="0" applyNumberFormat="1" applyFont="1" applyFill="1" applyBorder="1" applyAlignment="1">
      <alignment horizontal="right" vertical="center" wrapText="1"/>
    </xf>
    <xf numFmtId="43" fontId="3" fillId="3" borderId="15" xfId="2" applyFont="1" applyFill="1" applyBorder="1" applyAlignment="1">
      <alignment horizontal="right" vertical="center" wrapText="1"/>
    </xf>
    <xf numFmtId="41" fontId="3" fillId="7" borderId="17" xfId="0" applyNumberFormat="1" applyFont="1" applyFill="1" applyBorder="1" applyAlignment="1">
      <alignment horizontal="center" vertical="center" wrapText="1"/>
    </xf>
    <xf numFmtId="165" fontId="3" fillId="3" borderId="17" xfId="1" applyNumberFormat="1" applyFont="1" applyFill="1" applyBorder="1" applyAlignment="1">
      <alignment horizontal="right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43" fontId="3" fillId="2" borderId="13" xfId="2" applyFont="1" applyFill="1" applyBorder="1" applyAlignment="1">
      <alignment horizontal="right" vertical="center" wrapText="1"/>
    </xf>
    <xf numFmtId="165" fontId="3" fillId="3" borderId="17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166" fontId="25" fillId="3" borderId="29" xfId="2" applyNumberFormat="1" applyFont="1" applyFill="1" applyBorder="1" applyAlignment="1">
      <alignment horizontal="left" vertical="center" wrapText="1"/>
    </xf>
    <xf numFmtId="166" fontId="25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3" xfId="2" applyNumberFormat="1" applyFont="1" applyFill="1" applyBorder="1" applyAlignment="1">
      <alignment horizontal="center" vertical="center" wrapText="1"/>
    </xf>
    <xf numFmtId="166" fontId="0" fillId="2" borderId="13" xfId="2" applyNumberFormat="1" applyFont="1" applyFill="1" applyBorder="1"/>
    <xf numFmtId="166" fontId="3" fillId="3" borderId="17" xfId="2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 wrapText="1"/>
    </xf>
    <xf numFmtId="166" fontId="26" fillId="6" borderId="41" xfId="2" applyNumberFormat="1" applyFont="1" applyFill="1" applyBorder="1" applyAlignment="1">
      <alignment horizontal="left" vertical="center" wrapText="1"/>
    </xf>
    <xf numFmtId="43" fontId="26" fillId="6" borderId="42" xfId="2" applyFont="1" applyFill="1" applyBorder="1" applyAlignment="1">
      <alignment horizontal="left" vertical="center" wrapText="1"/>
    </xf>
    <xf numFmtId="166" fontId="26" fillId="6" borderId="44" xfId="2" applyNumberFormat="1" applyFont="1" applyFill="1" applyBorder="1" applyAlignment="1">
      <alignment horizontal="left" vertical="center" wrapText="1"/>
    </xf>
    <xf numFmtId="43" fontId="26" fillId="6" borderId="45" xfId="2" applyNumberFormat="1" applyFont="1" applyFill="1" applyBorder="1" applyAlignment="1">
      <alignment horizontal="center" vertical="center" wrapText="1"/>
    </xf>
    <xf numFmtId="166" fontId="0" fillId="0" borderId="13" xfId="2" applyNumberFormat="1" applyFont="1" applyFill="1" applyBorder="1" applyAlignment="1">
      <alignment vertical="center" wrapText="1"/>
    </xf>
    <xf numFmtId="166" fontId="0" fillId="0" borderId="13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20" fillId="0" borderId="1" xfId="0" applyNumberFormat="1" applyFont="1" applyFill="1" applyBorder="1" applyAlignment="1">
      <alignment vertical="center"/>
    </xf>
    <xf numFmtId="41" fontId="19" fillId="0" borderId="1" xfId="0" applyNumberFormat="1" applyFont="1" applyFill="1" applyBorder="1" applyAlignment="1">
      <alignment vertical="center"/>
    </xf>
    <xf numFmtId="41" fontId="25" fillId="0" borderId="27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166" fontId="1" fillId="2" borderId="1" xfId="2" applyNumberFormat="1" applyFont="1" applyFill="1" applyBorder="1" applyAlignment="1">
      <alignment vertical="center" wrapText="1"/>
    </xf>
    <xf numFmtId="166" fontId="15" fillId="0" borderId="17" xfId="2" applyNumberFormat="1" applyFont="1" applyFill="1" applyBorder="1" applyAlignment="1">
      <alignment horizontal="center" vertical="center"/>
    </xf>
    <xf numFmtId="166" fontId="15" fillId="0" borderId="31" xfId="2" applyNumberFormat="1" applyFont="1" applyBorder="1" applyAlignment="1">
      <alignment horizontal="center" vertical="center"/>
    </xf>
    <xf numFmtId="166" fontId="24" fillId="2" borderId="21" xfId="2" applyNumberFormat="1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 wrapText="1"/>
    </xf>
    <xf numFmtId="41" fontId="38" fillId="3" borderId="1" xfId="0" applyNumberFormat="1" applyFont="1" applyFill="1" applyBorder="1" applyAlignment="1">
      <alignment vertical="center" wrapText="1"/>
    </xf>
    <xf numFmtId="164" fontId="38" fillId="3" borderId="1" xfId="0" applyNumberFormat="1" applyFont="1" applyFill="1" applyBorder="1" applyAlignment="1">
      <alignment vertical="center" wrapText="1"/>
    </xf>
    <xf numFmtId="0" fontId="38" fillId="4" borderId="1" xfId="0" applyFont="1" applyFill="1" applyBorder="1" applyAlignment="1">
      <alignment vertical="center" wrapText="1"/>
    </xf>
    <xf numFmtId="41" fontId="38" fillId="4" borderId="1" xfId="0" applyNumberFormat="1" applyFont="1" applyFill="1" applyBorder="1" applyAlignment="1">
      <alignment vertical="center" wrapText="1"/>
    </xf>
    <xf numFmtId="164" fontId="38" fillId="4" borderId="1" xfId="0" applyNumberFormat="1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41" fontId="38" fillId="0" borderId="1" xfId="0" applyNumberFormat="1" applyFont="1" applyBorder="1" applyAlignment="1">
      <alignment vertical="center" wrapText="1"/>
    </xf>
    <xf numFmtId="164" fontId="38" fillId="0" borderId="1" xfId="0" applyNumberFormat="1" applyFont="1" applyBorder="1" applyAlignment="1">
      <alignment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41" fontId="39" fillId="0" borderId="1" xfId="0" applyNumberFormat="1" applyFont="1" applyFill="1" applyBorder="1" applyAlignment="1">
      <alignment vertical="center" wrapText="1"/>
    </xf>
    <xf numFmtId="164" fontId="39" fillId="0" borderId="1" xfId="0" applyNumberFormat="1" applyFont="1" applyBorder="1" applyAlignment="1">
      <alignment vertical="center" wrapText="1"/>
    </xf>
    <xf numFmtId="41" fontId="39" fillId="0" borderId="1" xfId="0" applyNumberFormat="1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41" fontId="38" fillId="0" borderId="1" xfId="0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15" fillId="5" borderId="17" xfId="2" applyNumberFormat="1" applyFont="1" applyFill="1" applyBorder="1" applyAlignment="1">
      <alignment horizontal="center" vertical="center"/>
    </xf>
    <xf numFmtId="166" fontId="24" fillId="5" borderId="21" xfId="2" applyNumberFormat="1" applyFont="1" applyFill="1" applyBorder="1" applyAlignment="1">
      <alignment vertical="center" wrapText="1"/>
    </xf>
    <xf numFmtId="49" fontId="16" fillId="3" borderId="47" xfId="0" applyNumberFormat="1" applyFont="1" applyFill="1" applyBorder="1" applyAlignment="1">
      <alignment horizontal="center" vertical="center"/>
    </xf>
    <xf numFmtId="166" fontId="12" fillId="5" borderId="48" xfId="2" applyNumberFormat="1" applyFont="1" applyFill="1" applyBorder="1" applyAlignment="1">
      <alignment vertical="center"/>
    </xf>
    <xf numFmtId="166" fontId="12" fillId="5" borderId="49" xfId="2" applyNumberFormat="1" applyFont="1" applyFill="1" applyBorder="1" applyAlignment="1">
      <alignment vertical="center"/>
    </xf>
    <xf numFmtId="166" fontId="24" fillId="5" borderId="57" xfId="2" applyNumberFormat="1" applyFont="1" applyFill="1" applyBorder="1" applyAlignment="1">
      <alignment vertical="center" wrapText="1"/>
    </xf>
    <xf numFmtId="166" fontId="3" fillId="2" borderId="13" xfId="2" quotePrefix="1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6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2" fillId="3" borderId="25" xfId="0" applyFont="1" applyFill="1" applyBorder="1" applyAlignment="1">
      <alignment horizontal="left" vertical="center" wrapText="1"/>
    </xf>
    <xf numFmtId="166" fontId="11" fillId="3" borderId="13" xfId="2" applyNumberFormat="1" applyFont="1" applyFill="1" applyBorder="1" applyAlignment="1">
      <alignment horizontal="center" vertical="center" wrapText="1" readingOrder="1"/>
    </xf>
    <xf numFmtId="167" fontId="12" fillId="0" borderId="13" xfId="2" applyNumberFormat="1" applyFont="1" applyFill="1" applyBorder="1" applyAlignment="1">
      <alignment horizontal="center" vertical="center" readingOrder="1"/>
    </xf>
    <xf numFmtId="167" fontId="13" fillId="3" borderId="13" xfId="2" applyNumberFormat="1" applyFont="1" applyFill="1" applyBorder="1" applyAlignment="1">
      <alignment horizontal="center" vertical="center" readingOrder="1"/>
    </xf>
    <xf numFmtId="167" fontId="18" fillId="0" borderId="13" xfId="2" applyNumberFormat="1" applyFont="1" applyBorder="1" applyAlignment="1">
      <alignment horizontal="center" vertical="center" readingOrder="1"/>
    </xf>
    <xf numFmtId="167" fontId="12" fillId="0" borderId="13" xfId="2" applyNumberFormat="1" applyFont="1" applyBorder="1" applyAlignment="1">
      <alignment horizontal="center" vertical="center" readingOrder="1"/>
    </xf>
    <xf numFmtId="167" fontId="23" fillId="3" borderId="13" xfId="2" applyNumberFormat="1" applyFont="1" applyFill="1" applyBorder="1" applyAlignment="1">
      <alignment horizontal="center" vertical="center" readingOrder="1"/>
    </xf>
    <xf numFmtId="0" fontId="25" fillId="2" borderId="33" xfId="0" applyFont="1" applyFill="1" applyBorder="1" applyAlignment="1">
      <alignment horizontal="left"/>
    </xf>
    <xf numFmtId="0" fontId="26" fillId="6" borderId="34" xfId="0" applyFont="1" applyFill="1" applyBorder="1" applyAlignment="1">
      <alignment horizontal="center" vertical="center" textRotation="90"/>
    </xf>
    <xf numFmtId="0" fontId="26" fillId="6" borderId="38" xfId="0" applyFont="1" applyFill="1" applyBorder="1" applyAlignment="1">
      <alignment horizontal="center" vertical="center" textRotation="90"/>
    </xf>
    <xf numFmtId="0" fontId="26" fillId="6" borderId="21" xfId="0" applyFont="1" applyFill="1" applyBorder="1" applyAlignment="1">
      <alignment horizontal="center" vertical="center" textRotation="90"/>
    </xf>
    <xf numFmtId="41" fontId="26" fillId="6" borderId="35" xfId="0" applyNumberFormat="1" applyFont="1" applyFill="1" applyBorder="1" applyAlignment="1">
      <alignment horizontal="center" vertical="center" wrapText="1"/>
    </xf>
    <xf numFmtId="41" fontId="26" fillId="6" borderId="36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left" vertical="center"/>
    </xf>
    <xf numFmtId="0" fontId="28" fillId="2" borderId="30" xfId="0" applyFont="1" applyFill="1" applyBorder="1" applyAlignment="1">
      <alignment horizontal="left" vertical="center"/>
    </xf>
    <xf numFmtId="41" fontId="25" fillId="2" borderId="40" xfId="0" applyNumberFormat="1" applyFont="1" applyFill="1" applyBorder="1" applyAlignment="1">
      <alignment horizontal="left" vertical="center" wrapText="1"/>
    </xf>
    <xf numFmtId="41" fontId="25" fillId="2" borderId="27" xfId="0" applyNumberFormat="1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41" fontId="25" fillId="2" borderId="5" xfId="0" applyNumberFormat="1" applyFont="1" applyFill="1" applyBorder="1" applyAlignment="1">
      <alignment horizontal="left" vertical="center" wrapText="1"/>
    </xf>
    <xf numFmtId="41" fontId="25" fillId="2" borderId="13" xfId="0" applyNumberFormat="1" applyFont="1" applyFill="1" applyBorder="1" applyAlignment="1">
      <alignment horizontal="left" vertical="center" wrapText="1"/>
    </xf>
    <xf numFmtId="41" fontId="26" fillId="6" borderId="14" xfId="0" applyNumberFormat="1" applyFont="1" applyFill="1" applyBorder="1" applyAlignment="1">
      <alignment horizontal="left" vertical="center" wrapText="1"/>
    </xf>
    <xf numFmtId="41" fontId="26" fillId="6" borderId="3" xfId="0" applyNumberFormat="1" applyFont="1" applyFill="1" applyBorder="1" applyAlignment="1">
      <alignment horizontal="left" vertical="center" wrapText="1"/>
    </xf>
    <xf numFmtId="41" fontId="25" fillId="2" borderId="43" xfId="0" applyNumberFormat="1" applyFont="1" applyFill="1" applyBorder="1" applyAlignment="1">
      <alignment horizontal="left" vertical="center" wrapText="1"/>
    </xf>
    <xf numFmtId="41" fontId="25" fillId="2" borderId="17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left" vertical="center" wrapText="1"/>
    </xf>
    <xf numFmtId="0" fontId="26" fillId="6" borderId="31" xfId="0" applyFont="1" applyFill="1" applyBorder="1" applyAlignment="1">
      <alignment horizontal="left" vertical="center" wrapText="1"/>
    </xf>
    <xf numFmtId="0" fontId="29" fillId="6" borderId="46" xfId="0" applyFont="1" applyFill="1" applyBorder="1" applyAlignment="1">
      <alignment horizontal="center" vertical="center" textRotation="90"/>
    </xf>
    <xf numFmtId="0" fontId="29" fillId="6" borderId="53" xfId="0" applyFont="1" applyFill="1" applyBorder="1" applyAlignment="1">
      <alignment horizontal="center" vertical="center" textRotation="90"/>
    </xf>
    <xf numFmtId="41" fontId="29" fillId="6" borderId="47" xfId="0" applyNumberFormat="1" applyFont="1" applyFill="1" applyBorder="1" applyAlignment="1">
      <alignment horizontal="center" vertical="center" wrapText="1"/>
    </xf>
    <xf numFmtId="41" fontId="29" fillId="6" borderId="48" xfId="0" applyNumberFormat="1" applyFont="1" applyFill="1" applyBorder="1" applyAlignment="1">
      <alignment horizontal="center" vertical="center" wrapText="1"/>
    </xf>
    <xf numFmtId="41" fontId="29" fillId="6" borderId="5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justify" vertical="justify" wrapText="1"/>
    </xf>
    <xf numFmtId="0" fontId="1" fillId="7" borderId="7" xfId="0" applyFont="1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3" xfId="0" applyFont="1" applyFill="1" applyBorder="1" applyAlignment="1">
      <alignment horizontal="justify" vertical="justify" wrapText="1"/>
    </xf>
    <xf numFmtId="0" fontId="3" fillId="7" borderId="16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Fevereiro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440748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10</xdr:col>
      <xdr:colOff>305921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640136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100" zoomScaleSheetLayoutView="90" workbookViewId="0">
      <selection activeCell="N18" sqref="N18"/>
    </sheetView>
  </sheetViews>
  <sheetFormatPr defaultRowHeight="15" x14ac:dyDescent="0.25"/>
  <cols>
    <col min="1" max="9" width="9.140625" style="75"/>
    <col min="10" max="10" width="43.42578125" style="75" customWidth="1"/>
    <col min="11" max="16384" width="9.140625" style="75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view="pageBreakPreview" topLeftCell="A9" zoomScale="60" zoomScaleNormal="70" workbookViewId="0">
      <selection activeCell="M33" sqref="M33"/>
    </sheetView>
  </sheetViews>
  <sheetFormatPr defaultRowHeight="15" x14ac:dyDescent="0.25"/>
  <cols>
    <col min="1" max="1" width="9.140625" style="75"/>
    <col min="2" max="2" width="35.5703125" style="75" customWidth="1"/>
    <col min="3" max="3" width="23" style="75" customWidth="1"/>
    <col min="4" max="4" width="17.7109375" style="75" customWidth="1"/>
    <col min="5" max="5" width="18.42578125" style="75" customWidth="1"/>
    <col min="6" max="6" width="15.5703125" style="75" customWidth="1"/>
    <col min="7" max="7" width="13.140625" style="75" customWidth="1"/>
    <col min="8" max="8" width="10.7109375" style="75" customWidth="1"/>
    <col min="9" max="9" width="40.85546875" style="75" customWidth="1"/>
    <col min="10" max="10" width="34.140625" style="75" customWidth="1"/>
    <col min="11" max="11" width="16" style="75" customWidth="1"/>
    <col min="12" max="12" width="15.7109375" style="75" customWidth="1"/>
    <col min="13" max="13" width="17.42578125" style="75" customWidth="1"/>
    <col min="14" max="16384" width="9.140625" style="75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76"/>
      <c r="J6" s="76"/>
      <c r="K6" s="76"/>
      <c r="L6" s="76"/>
      <c r="M6" s="76"/>
    </row>
    <row r="7" spans="1:13" s="79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76"/>
      <c r="J7" s="76"/>
      <c r="K7" s="76"/>
      <c r="L7" s="76"/>
      <c r="M7" s="76"/>
    </row>
    <row r="8" spans="1:13" s="79" customFormat="1" ht="21" customHeight="1" x14ac:dyDescent="0.35">
      <c r="A8" s="303" t="str">
        <f>'Dem Fontes e Usos'!A8:G8</f>
        <v>DATA DE ELABORAÇÃO:  29-03-2017</v>
      </c>
      <c r="B8" s="278"/>
      <c r="C8" s="278"/>
      <c r="D8" s="278"/>
      <c r="E8" s="278"/>
      <c r="F8" s="278"/>
      <c r="G8" s="278"/>
      <c r="H8" s="278"/>
      <c r="I8" s="76"/>
      <c r="J8" s="76"/>
      <c r="K8" s="76"/>
      <c r="L8" s="76"/>
      <c r="M8" s="76"/>
    </row>
    <row r="9" spans="1:13" s="79" customFormat="1" ht="21" customHeight="1" x14ac:dyDescent="0.35">
      <c r="A9" s="303" t="str">
        <f>'Dem Fontes e Usos'!A9:G9</f>
        <v xml:space="preserve">Período: Janeiro e Fevereiro/2017 </v>
      </c>
      <c r="B9" s="278"/>
      <c r="C9" s="278"/>
      <c r="D9" s="278"/>
      <c r="E9" s="278"/>
      <c r="F9" s="278"/>
      <c r="G9" s="278"/>
      <c r="H9" s="278"/>
      <c r="I9" s="76"/>
      <c r="J9" s="76"/>
      <c r="K9" s="76"/>
      <c r="L9" s="76"/>
      <c r="M9" s="76"/>
    </row>
    <row r="10" spans="1:13" s="162" customFormat="1" ht="23.25" x14ac:dyDescent="0.35">
      <c r="A10" s="279" t="s">
        <v>163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13" ht="4.5" customHeight="1" thickBot="1" x14ac:dyDescent="0.35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</row>
    <row r="12" spans="1:13" s="166" customFormat="1" ht="69" customHeight="1" thickBot="1" x14ac:dyDescent="0.3">
      <c r="A12" s="314" t="s">
        <v>132</v>
      </c>
      <c r="B12" s="317" t="s">
        <v>133</v>
      </c>
      <c r="C12" s="318"/>
      <c r="D12" s="163" t="s">
        <v>134</v>
      </c>
      <c r="E12" s="163" t="s">
        <v>135</v>
      </c>
      <c r="F12" s="164" t="s">
        <v>136</v>
      </c>
      <c r="G12" s="165"/>
      <c r="H12" s="314" t="s">
        <v>132</v>
      </c>
      <c r="I12" s="317" t="s">
        <v>137</v>
      </c>
      <c r="J12" s="318"/>
      <c r="K12" s="163" t="s">
        <v>134</v>
      </c>
      <c r="L12" s="163" t="s">
        <v>138</v>
      </c>
      <c r="M12" s="164" t="s">
        <v>136</v>
      </c>
    </row>
    <row r="13" spans="1:13" s="166" customFormat="1" ht="37.9" customHeight="1" x14ac:dyDescent="0.25">
      <c r="A13" s="315"/>
      <c r="B13" s="319" t="s">
        <v>139</v>
      </c>
      <c r="C13" s="320"/>
      <c r="D13" s="215">
        <f>'Dem Fontes e Usos'!B14</f>
        <v>1042940</v>
      </c>
      <c r="E13" s="215">
        <f>'Dem Fontes e Usos'!C14</f>
        <v>270794.38</v>
      </c>
      <c r="F13" s="167">
        <f t="shared" ref="F13:F18" si="0">IFERROR(E13/D13*100,0)</f>
        <v>25.964521448980765</v>
      </c>
      <c r="G13" s="168"/>
      <c r="H13" s="315"/>
      <c r="I13" s="321" t="s">
        <v>140</v>
      </c>
      <c r="J13" s="322"/>
      <c r="K13" s="169">
        <v>550000</v>
      </c>
      <c r="L13" s="235">
        <v>37571.300000000003</v>
      </c>
      <c r="M13" s="170">
        <f>IFERROR(L13/K13*100,0)</f>
        <v>6.8311454545454549</v>
      </c>
    </row>
    <row r="14" spans="1:13" s="166" customFormat="1" ht="38.450000000000003" customHeight="1" x14ac:dyDescent="0.25">
      <c r="A14" s="315"/>
      <c r="B14" s="323" t="s">
        <v>141</v>
      </c>
      <c r="C14" s="324"/>
      <c r="D14" s="216">
        <f>'Dem Fontes e Usos'!B21</f>
        <v>82315</v>
      </c>
      <c r="E14" s="216">
        <f>'Dem Fontes e Usos'!C21</f>
        <v>13719.16</v>
      </c>
      <c r="F14" s="171">
        <f t="shared" si="0"/>
        <v>16.666658567697258</v>
      </c>
      <c r="G14" s="168"/>
      <c r="H14" s="315"/>
      <c r="I14" s="325" t="s">
        <v>142</v>
      </c>
      <c r="J14" s="326"/>
      <c r="K14" s="172">
        <v>0</v>
      </c>
      <c r="L14" s="172">
        <v>0</v>
      </c>
      <c r="M14" s="173">
        <f>IFERROR(L14/K14*100,0)</f>
        <v>0</v>
      </c>
    </row>
    <row r="15" spans="1:13" s="166" customFormat="1" ht="43.5" customHeight="1" thickBot="1" x14ac:dyDescent="0.3">
      <c r="A15" s="315"/>
      <c r="B15" s="327" t="s">
        <v>143</v>
      </c>
      <c r="C15" s="328"/>
      <c r="D15" s="226">
        <f>SUM(D13:D14)</f>
        <v>1125255</v>
      </c>
      <c r="E15" s="226">
        <f>SUM(E13:E14)</f>
        <v>284513.53999999998</v>
      </c>
      <c r="F15" s="227">
        <f t="shared" si="0"/>
        <v>25.284361322544669</v>
      </c>
      <c r="G15" s="168"/>
      <c r="H15" s="316"/>
      <c r="I15" s="329" t="s">
        <v>144</v>
      </c>
      <c r="J15" s="330"/>
      <c r="K15" s="174">
        <f>'Dem Fontes e Usos'!B13</f>
        <v>1125255</v>
      </c>
      <c r="L15" s="174">
        <f>'Dem Fontes e Usos'!C13</f>
        <v>288467.27999999997</v>
      </c>
      <c r="M15" s="175">
        <f>IFERROR(L15/K15*100,0)</f>
        <v>25.635725235613261</v>
      </c>
    </row>
    <row r="16" spans="1:13" s="166" customFormat="1" ht="28.5" customHeight="1" x14ac:dyDescent="0.25">
      <c r="A16" s="315"/>
      <c r="B16" s="323" t="s">
        <v>145</v>
      </c>
      <c r="C16" s="324"/>
      <c r="D16" s="216">
        <f>'Dem Fontes e Usos'!B36</f>
        <v>35884</v>
      </c>
      <c r="E16" s="216">
        <f>'Dem Fontes e Usos'!C36</f>
        <v>2990.33</v>
      </c>
      <c r="F16" s="171">
        <f t="shared" si="0"/>
        <v>8.3333240441422358</v>
      </c>
      <c r="G16" s="168"/>
      <c r="H16" s="331"/>
      <c r="I16" s="331"/>
      <c r="J16" s="165"/>
      <c r="K16" s="176"/>
      <c r="L16" s="176"/>
      <c r="M16" s="177"/>
    </row>
    <row r="17" spans="1:13" s="166" customFormat="1" ht="33.75" customHeight="1" x14ac:dyDescent="0.25">
      <c r="A17" s="315"/>
      <c r="B17" s="323" t="s">
        <v>146</v>
      </c>
      <c r="C17" s="324"/>
      <c r="D17" s="216">
        <f>'Dem Fontes e Usos'!B37</f>
        <v>85725</v>
      </c>
      <c r="E17" s="216">
        <f>'Dem Fontes e Usos'!C37</f>
        <v>7143.74</v>
      </c>
      <c r="F17" s="171">
        <f t="shared" si="0"/>
        <v>8.3333216681248174</v>
      </c>
      <c r="G17" s="168"/>
      <c r="H17" s="331"/>
      <c r="I17" s="331"/>
      <c r="J17" s="165"/>
      <c r="K17" s="177"/>
      <c r="L17" s="177"/>
      <c r="M17" s="177"/>
    </row>
    <row r="18" spans="1:13" s="166" customFormat="1" ht="30.75" customHeight="1" thickBot="1" x14ac:dyDescent="0.3">
      <c r="A18" s="316"/>
      <c r="B18" s="332" t="s">
        <v>147</v>
      </c>
      <c r="C18" s="333"/>
      <c r="D18" s="228">
        <f>D15-D16-D17</f>
        <v>1003646</v>
      </c>
      <c r="E18" s="228">
        <f>E15-E16-E17</f>
        <v>274379.46999999997</v>
      </c>
      <c r="F18" s="229">
        <f t="shared" si="0"/>
        <v>27.338271661522089</v>
      </c>
      <c r="G18" s="178"/>
      <c r="H18" s="179"/>
      <c r="I18" s="179"/>
      <c r="J18" s="165"/>
      <c r="K18" s="177"/>
      <c r="L18" s="180"/>
      <c r="M18" s="177"/>
    </row>
    <row r="19" spans="1:13" s="188" customFormat="1" ht="16.5" thickBot="1" x14ac:dyDescent="0.3">
      <c r="A19" s="181"/>
      <c r="B19" s="182"/>
      <c r="C19" s="182"/>
      <c r="D19" s="183"/>
      <c r="E19" s="183"/>
      <c r="F19" s="184"/>
      <c r="G19" s="183"/>
      <c r="H19" s="185"/>
      <c r="I19" s="185"/>
      <c r="J19" s="186"/>
      <c r="K19" s="184"/>
      <c r="L19" s="187"/>
      <c r="M19" s="184"/>
    </row>
    <row r="20" spans="1:13" s="166" customFormat="1" ht="43.5" customHeight="1" thickBot="1" x14ac:dyDescent="0.3">
      <c r="A20" s="334" t="s">
        <v>148</v>
      </c>
      <c r="B20" s="336" t="s">
        <v>149</v>
      </c>
      <c r="C20" s="337"/>
      <c r="D20" s="189" t="s">
        <v>150</v>
      </c>
      <c r="E20" s="190" t="s">
        <v>151</v>
      </c>
      <c r="F20" s="190" t="s">
        <v>136</v>
      </c>
      <c r="G20" s="183"/>
      <c r="H20" s="336" t="s">
        <v>149</v>
      </c>
      <c r="I20" s="337"/>
      <c r="J20" s="338"/>
      <c r="K20" s="191" t="s">
        <v>152</v>
      </c>
      <c r="L20" s="189" t="s">
        <v>153</v>
      </c>
      <c r="M20" s="192" t="s">
        <v>136</v>
      </c>
    </row>
    <row r="21" spans="1:13" s="166" customFormat="1" ht="40.5" customHeight="1" x14ac:dyDescent="0.25">
      <c r="A21" s="334"/>
      <c r="B21" s="339" t="s">
        <v>154</v>
      </c>
      <c r="C21" s="193" t="s">
        <v>155</v>
      </c>
      <c r="D21" s="194">
        <f>'Exec Orçamentária'!D21</f>
        <v>245060</v>
      </c>
      <c r="E21" s="195">
        <f>'Exec Orçamentária'!F21</f>
        <v>31939.8</v>
      </c>
      <c r="F21" s="196">
        <f>IFERROR(E21/D21*100,0)</f>
        <v>13.033461193177182</v>
      </c>
      <c r="G21" s="183"/>
      <c r="H21" s="341" t="s">
        <v>165</v>
      </c>
      <c r="I21" s="342"/>
      <c r="J21" s="193" t="s">
        <v>155</v>
      </c>
      <c r="K21" s="198">
        <f>(K13-K14)</f>
        <v>550000</v>
      </c>
      <c r="L21" s="198">
        <f>(L13-L14)</f>
        <v>37571.300000000003</v>
      </c>
      <c r="M21" s="196">
        <f>IFERROR(L21/K21*100,0)</f>
        <v>6.8311454545454549</v>
      </c>
    </row>
    <row r="22" spans="1:13" s="166" customFormat="1" ht="36.6" customHeight="1" x14ac:dyDescent="0.25">
      <c r="A22" s="334"/>
      <c r="B22" s="340"/>
      <c r="C22" s="199" t="s">
        <v>156</v>
      </c>
      <c r="D22" s="200">
        <f>IFERROR(D21/D18,0)</f>
        <v>0.24416975706573832</v>
      </c>
      <c r="E22" s="200">
        <f>IFERROR(E21/E18,0)</f>
        <v>0.11640739739019104</v>
      </c>
      <c r="F22" s="201">
        <f>E22-D22</f>
        <v>-0.12776235967554728</v>
      </c>
      <c r="G22" s="183"/>
      <c r="H22" s="343"/>
      <c r="I22" s="344"/>
      <c r="J22" s="202" t="s">
        <v>156</v>
      </c>
      <c r="K22" s="203">
        <f>IFERROR(K21/K15,)</f>
        <v>0.48877809918640663</v>
      </c>
      <c r="L22" s="203">
        <f>IFERROR(L21/L15,)</f>
        <v>0.13024458094519423</v>
      </c>
      <c r="M22" s="201">
        <f>L22-K22</f>
        <v>-0.35853351824121238</v>
      </c>
    </row>
    <row r="23" spans="1:13" s="166" customFormat="1" ht="28.5" customHeight="1" x14ac:dyDescent="0.25">
      <c r="A23" s="334"/>
      <c r="B23" s="340" t="s">
        <v>157</v>
      </c>
      <c r="C23" s="197" t="s">
        <v>155</v>
      </c>
      <c r="D23" s="204">
        <f>'Exec Orçamentária'!D19+'Exec Orçamentária'!D23</f>
        <v>232725</v>
      </c>
      <c r="E23" s="204">
        <f>'Exec Orçamentária'!F19+'Exec Orçamentária'!F23</f>
        <v>26603.769999999997</v>
      </c>
      <c r="F23" s="196">
        <f>IFERROR(E23/D23*100,0)</f>
        <v>11.431419056826725</v>
      </c>
      <c r="G23" s="183"/>
      <c r="H23" s="348" t="s">
        <v>166</v>
      </c>
      <c r="I23" s="349"/>
      <c r="J23" s="197" t="s">
        <v>155</v>
      </c>
      <c r="K23" s="205">
        <f>'Exec Orçamentária'!D17</f>
        <v>11000</v>
      </c>
      <c r="L23" s="205">
        <f>'Exec Orçamentária'!F17</f>
        <v>0</v>
      </c>
      <c r="M23" s="206">
        <f>IFERROR(L23/K23*100,0)</f>
        <v>0</v>
      </c>
    </row>
    <row r="24" spans="1:13" s="166" customFormat="1" ht="32.450000000000003" customHeight="1" thickBot="1" x14ac:dyDescent="0.3">
      <c r="A24" s="334"/>
      <c r="B24" s="340"/>
      <c r="C24" s="202" t="s">
        <v>156</v>
      </c>
      <c r="D24" s="200">
        <f>IFERROR(D23/D18,0)</f>
        <v>0.23187956709835938</v>
      </c>
      <c r="E24" s="200">
        <f>IFERROR(E23/E18,0)</f>
        <v>9.6959768892330031E-2</v>
      </c>
      <c r="F24" s="201">
        <f>E24-D24</f>
        <v>-0.13491979820602934</v>
      </c>
      <c r="G24" s="183"/>
      <c r="H24" s="350"/>
      <c r="I24" s="351"/>
      <c r="J24" s="207" t="s">
        <v>156</v>
      </c>
      <c r="K24" s="208">
        <f>IFERROR(K23/K13,)</f>
        <v>0.02</v>
      </c>
      <c r="L24" s="208">
        <f>IFERROR(L23/L13,)</f>
        <v>0</v>
      </c>
      <c r="M24" s="209">
        <f>L24-K24</f>
        <v>-0.02</v>
      </c>
    </row>
    <row r="25" spans="1:13" s="166" customFormat="1" ht="28.5" customHeight="1" x14ac:dyDescent="0.25">
      <c r="A25" s="334"/>
      <c r="B25" s="340" t="s">
        <v>158</v>
      </c>
      <c r="C25" s="197" t="s">
        <v>155</v>
      </c>
      <c r="D25" s="273">
        <f>'Exec Orçamentária'!D18</f>
        <v>31000</v>
      </c>
      <c r="E25" s="205">
        <f>'Exec Orçamentária'!F18</f>
        <v>2500</v>
      </c>
      <c r="F25" s="196">
        <f>IFERROR(E25/D25*100,0)</f>
        <v>8.064516129032258</v>
      </c>
      <c r="G25" s="183"/>
    </row>
    <row r="26" spans="1:13" s="166" customFormat="1" ht="27.75" customHeight="1" x14ac:dyDescent="0.25">
      <c r="A26" s="334"/>
      <c r="B26" s="340"/>
      <c r="C26" s="202" t="s">
        <v>156</v>
      </c>
      <c r="D26" s="200">
        <f>IFERROR(D25/D18,0)</f>
        <v>3.0887384595763845E-2</v>
      </c>
      <c r="E26" s="200">
        <f>IFERROR(E25/E18,0)</f>
        <v>9.111468871923982E-3</v>
      </c>
      <c r="F26" s="201">
        <f>E26-D26</f>
        <v>-2.1775915723839863E-2</v>
      </c>
      <c r="G26" s="183"/>
    </row>
    <row r="27" spans="1:13" s="166" customFormat="1" ht="27" customHeight="1" x14ac:dyDescent="0.25">
      <c r="A27" s="334"/>
      <c r="B27" s="340" t="s">
        <v>159</v>
      </c>
      <c r="C27" s="197" t="s">
        <v>155</v>
      </c>
      <c r="D27" s="210">
        <v>0</v>
      </c>
      <c r="E27" s="204">
        <v>0</v>
      </c>
      <c r="F27" s="196">
        <f>IFERROR(E27/D27*100,0)</f>
        <v>0</v>
      </c>
      <c r="G27" s="345"/>
      <c r="H27" s="345"/>
      <c r="I27" s="345"/>
    </row>
    <row r="28" spans="1:13" s="166" customFormat="1" ht="31.5" customHeight="1" x14ac:dyDescent="0.25">
      <c r="A28" s="334"/>
      <c r="B28" s="340"/>
      <c r="C28" s="202" t="s">
        <v>156</v>
      </c>
      <c r="D28" s="200">
        <f>IFERROR(D27/D18,0)</f>
        <v>0</v>
      </c>
      <c r="E28" s="200">
        <f>IFERROR(E27/E18,0)</f>
        <v>0</v>
      </c>
      <c r="F28" s="201">
        <f>E28-D28</f>
        <v>0</v>
      </c>
      <c r="G28" s="183"/>
    </row>
    <row r="29" spans="1:13" s="166" customFormat="1" ht="23.25" customHeight="1" x14ac:dyDescent="0.25">
      <c r="A29" s="334"/>
      <c r="B29" s="340" t="s">
        <v>160</v>
      </c>
      <c r="C29" s="197" t="s">
        <v>155</v>
      </c>
      <c r="D29" s="204">
        <f>'Exec Orçamentária'!D12+'Exec Orçamentária'!D13+'Exec Orçamentária'!D14+'Exec Orçamentária'!D18</f>
        <v>74000</v>
      </c>
      <c r="E29" s="204">
        <f>'Exec Orçamentária'!F12+'Exec Orçamentária'!F13+'Exec Orçamentária'!F14+'Exec Orçamentária'!F18</f>
        <v>3250</v>
      </c>
      <c r="F29" s="196">
        <f>IFERROR(E29/D29*100,0)</f>
        <v>4.3918918918918921</v>
      </c>
      <c r="G29" s="183"/>
    </row>
    <row r="30" spans="1:13" s="166" customFormat="1" ht="28.5" customHeight="1" x14ac:dyDescent="0.25">
      <c r="A30" s="334"/>
      <c r="B30" s="340"/>
      <c r="C30" s="202" t="s">
        <v>156</v>
      </c>
      <c r="D30" s="200">
        <f>IFERROR(D29/D18,0)</f>
        <v>7.3731176131823367E-2</v>
      </c>
      <c r="E30" s="200">
        <f>IFERROR(E29/E18,0)</f>
        <v>1.1844909533501178E-2</v>
      </c>
      <c r="F30" s="201">
        <f>E30-D30</f>
        <v>-6.1886266598322193E-2</v>
      </c>
      <c r="G30" s="183"/>
    </row>
    <row r="31" spans="1:13" s="166" customFormat="1" ht="24.75" customHeight="1" x14ac:dyDescent="0.25">
      <c r="A31" s="334"/>
      <c r="B31" s="346" t="s">
        <v>161</v>
      </c>
      <c r="C31" s="197" t="s">
        <v>155</v>
      </c>
      <c r="D31" s="204">
        <f>'Exec Orçamentária'!D25</f>
        <v>10650</v>
      </c>
      <c r="E31" s="204">
        <f>'Exec Orçamentária'!F25</f>
        <v>0</v>
      </c>
      <c r="F31" s="196">
        <f>IFERROR(E31/D31*100,0)</f>
        <v>0</v>
      </c>
      <c r="G31" s="183"/>
    </row>
    <row r="32" spans="1:13" s="166" customFormat="1" ht="31.5" customHeight="1" thickBot="1" x14ac:dyDescent="0.3">
      <c r="A32" s="335"/>
      <c r="B32" s="347"/>
      <c r="C32" s="207" t="s">
        <v>156</v>
      </c>
      <c r="D32" s="211">
        <f>IFERROR(D31/D18,0)</f>
        <v>1.0611311159512417E-2</v>
      </c>
      <c r="E32" s="211">
        <f>IFERROR(E31/E18,0)</f>
        <v>0</v>
      </c>
      <c r="F32" s="209">
        <f>E32-D32</f>
        <v>-1.0611311159512417E-2</v>
      </c>
      <c r="G32" s="183"/>
    </row>
    <row r="33" spans="2:2" x14ac:dyDescent="0.25">
      <c r="B33" s="212"/>
    </row>
  </sheetData>
  <mergeCells count="32"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6:H6"/>
    <mergeCell ref="A7:H7"/>
    <mergeCell ref="A8:H8"/>
    <mergeCell ref="A9:H9"/>
    <mergeCell ref="A10:M10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view="pageBreakPreview" topLeftCell="A13" zoomScaleNormal="110" zoomScaleSheetLayoutView="100" workbookViewId="0">
      <selection activeCell="A9" sqref="A9:G9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6" customFormat="1" ht="21" x14ac:dyDescent="0.35">
      <c r="G1" s="77"/>
    </row>
    <row r="2" spans="1:7" s="76" customFormat="1" ht="21" x14ac:dyDescent="0.35">
      <c r="G2" s="77"/>
    </row>
    <row r="3" spans="1:7" s="76" customFormat="1" ht="21" x14ac:dyDescent="0.35">
      <c r="G3" s="77"/>
    </row>
    <row r="4" spans="1:7" s="76" customFormat="1" ht="21" x14ac:dyDescent="0.35">
      <c r="G4" s="77"/>
    </row>
    <row r="5" spans="1:7" s="76" customFormat="1" ht="21" x14ac:dyDescent="0.35">
      <c r="G5" s="77"/>
    </row>
    <row r="6" spans="1:7" s="79" customFormat="1" ht="21" x14ac:dyDescent="0.35">
      <c r="A6" s="277" t="s">
        <v>170</v>
      </c>
      <c r="B6" s="277"/>
      <c r="C6" s="277"/>
      <c r="D6" s="277"/>
      <c r="E6" s="277"/>
      <c r="F6" s="277"/>
      <c r="G6" s="277"/>
    </row>
    <row r="7" spans="1:7" s="79" customFormat="1" ht="21" x14ac:dyDescent="0.35">
      <c r="A7" s="278" t="s">
        <v>118</v>
      </c>
      <c r="B7" s="278"/>
      <c r="C7" s="278"/>
      <c r="D7" s="278"/>
      <c r="E7" s="278"/>
      <c r="F7" s="278"/>
      <c r="G7" s="278"/>
    </row>
    <row r="8" spans="1:7" s="79" customFormat="1" ht="21" x14ac:dyDescent="0.35">
      <c r="A8" s="278" t="s">
        <v>181</v>
      </c>
      <c r="B8" s="278"/>
      <c r="C8" s="278"/>
      <c r="D8" s="278"/>
      <c r="E8" s="278"/>
      <c r="F8" s="278"/>
      <c r="G8" s="278"/>
    </row>
    <row r="9" spans="1:7" s="79" customFormat="1" ht="21" x14ac:dyDescent="0.35">
      <c r="A9" s="278" t="s">
        <v>182</v>
      </c>
      <c r="B9" s="278"/>
      <c r="C9" s="278"/>
      <c r="D9" s="278"/>
      <c r="E9" s="278"/>
      <c r="F9" s="278"/>
      <c r="G9" s="278"/>
    </row>
    <row r="10" spans="1:7" s="79" customFormat="1" ht="21" customHeight="1" x14ac:dyDescent="0.35">
      <c r="A10" s="279" t="s">
        <v>119</v>
      </c>
      <c r="B10" s="279"/>
      <c r="C10" s="279"/>
      <c r="D10" s="279"/>
      <c r="E10" s="279"/>
      <c r="F10" s="279"/>
      <c r="G10" s="279"/>
    </row>
    <row r="11" spans="1:7" s="1" customFormat="1" ht="45" x14ac:dyDescent="0.25">
      <c r="A11" s="72" t="s">
        <v>12</v>
      </c>
      <c r="B11" s="72" t="s">
        <v>171</v>
      </c>
      <c r="C11" s="72" t="s">
        <v>172</v>
      </c>
      <c r="D11" s="72" t="s">
        <v>101</v>
      </c>
      <c r="E11" s="72" t="s">
        <v>100</v>
      </c>
      <c r="F11" s="72" t="s">
        <v>102</v>
      </c>
      <c r="G11" s="72" t="s">
        <v>179</v>
      </c>
    </row>
    <row r="12" spans="1:7" s="1" customFormat="1" x14ac:dyDescent="0.25">
      <c r="A12" s="274" t="s">
        <v>30</v>
      </c>
      <c r="B12" s="275"/>
      <c r="C12" s="275"/>
      <c r="D12" s="275"/>
      <c r="E12" s="275"/>
      <c r="F12" s="275"/>
      <c r="G12" s="276"/>
    </row>
    <row r="13" spans="1:7" s="1" customFormat="1" ht="24.95" customHeight="1" x14ac:dyDescent="0.25">
      <c r="A13" s="11" t="s">
        <v>20</v>
      </c>
      <c r="B13" s="13">
        <f>B14+B21+B22</f>
        <v>1125255</v>
      </c>
      <c r="C13" s="217">
        <f>C14+C21+C22</f>
        <v>288467.27999999997</v>
      </c>
      <c r="D13" s="14">
        <f>C13/B13*100-100</f>
        <v>-74.364274764386735</v>
      </c>
      <c r="E13" s="14">
        <f>E14+E21+E22</f>
        <v>100.00000000000001</v>
      </c>
      <c r="F13" s="13">
        <f>F14+F21+F22</f>
        <v>836787.72</v>
      </c>
      <c r="G13" s="264" t="s">
        <v>53</v>
      </c>
    </row>
    <row r="14" spans="1:7" s="8" customFormat="1" x14ac:dyDescent="0.25">
      <c r="A14" s="3" t="s">
        <v>13</v>
      </c>
      <c r="B14" s="9">
        <f>B15+B20</f>
        <v>1042940</v>
      </c>
      <c r="C14" s="218">
        <f>C15+C20</f>
        <v>270794.38</v>
      </c>
      <c r="D14" s="10">
        <f>C14/B14*100</f>
        <v>25.964521448980765</v>
      </c>
      <c r="E14" s="10">
        <f>E15+E20</f>
        <v>93.873516608192119</v>
      </c>
      <c r="F14" s="9">
        <f>F15+F20</f>
        <v>772145.62</v>
      </c>
      <c r="G14" s="265" t="s">
        <v>53</v>
      </c>
    </row>
    <row r="15" spans="1:7" s="8" customFormat="1" x14ac:dyDescent="0.25">
      <c r="A15" s="3" t="s">
        <v>14</v>
      </c>
      <c r="B15" s="9">
        <f>SUM(B16:B19)</f>
        <v>496628</v>
      </c>
      <c r="C15" s="218">
        <f>SUM(C16:C19)</f>
        <v>198983.87000000002</v>
      </c>
      <c r="D15" s="10">
        <f>C15/B15*100</f>
        <v>40.066985751910892</v>
      </c>
      <c r="E15" s="10">
        <f>SUM(E16:E19)</f>
        <v>68.979701961345512</v>
      </c>
      <c r="F15" s="9">
        <f>SUM(F16:F19)</f>
        <v>297644.13</v>
      </c>
      <c r="G15" s="265" t="s">
        <v>53</v>
      </c>
    </row>
    <row r="16" spans="1:7" s="1" customFormat="1" x14ac:dyDescent="0.25">
      <c r="A16" s="47" t="s">
        <v>15</v>
      </c>
      <c r="B16" s="48">
        <v>430670</v>
      </c>
      <c r="C16" s="236">
        <v>177209.14</v>
      </c>
      <c r="D16" s="15">
        <f>C16/B16*100</f>
        <v>41.147314649267422</v>
      </c>
      <c r="E16" s="15">
        <f t="shared" ref="E16:E21" si="0">C16/$C$27*100</f>
        <v>61.431279138486708</v>
      </c>
      <c r="F16" s="5">
        <f t="shared" ref="F16:F21" si="1">B16-C16</f>
        <v>253460.86</v>
      </c>
      <c r="G16" s="265" t="s">
        <v>53</v>
      </c>
    </row>
    <row r="17" spans="1:7" s="1" customFormat="1" x14ac:dyDescent="0.25">
      <c r="A17" s="47" t="s">
        <v>16</v>
      </c>
      <c r="B17" s="48">
        <v>35581</v>
      </c>
      <c r="C17" s="237">
        <v>11580.48</v>
      </c>
      <c r="D17" s="15">
        <f>C17/B17*100</f>
        <v>32.546808690031192</v>
      </c>
      <c r="E17" s="15">
        <f t="shared" si="0"/>
        <v>4.0144864956607904</v>
      </c>
      <c r="F17" s="5">
        <f t="shared" si="1"/>
        <v>24000.52</v>
      </c>
      <c r="G17" s="265" t="s">
        <v>53</v>
      </c>
    </row>
    <row r="18" spans="1:7" s="1" customFormat="1" x14ac:dyDescent="0.25">
      <c r="A18" s="47" t="s">
        <v>17</v>
      </c>
      <c r="B18" s="48">
        <v>30377</v>
      </c>
      <c r="C18" s="219">
        <f>143.6+2967.53+3743.55+3339.57</f>
        <v>10194.25</v>
      </c>
      <c r="D18" s="15">
        <f>C18/B18*100</f>
        <v>33.559107219277742</v>
      </c>
      <c r="E18" s="15">
        <f t="shared" si="0"/>
        <v>3.5339363271980102</v>
      </c>
      <c r="F18" s="5">
        <f t="shared" si="1"/>
        <v>20182.75</v>
      </c>
      <c r="G18" s="265" t="s">
        <v>53</v>
      </c>
    </row>
    <row r="19" spans="1:7" s="1" customFormat="1" x14ac:dyDescent="0.25">
      <c r="A19" s="47" t="s">
        <v>65</v>
      </c>
      <c r="B19" s="48">
        <v>0</v>
      </c>
      <c r="C19" s="219"/>
      <c r="D19" s="15">
        <v>0</v>
      </c>
      <c r="E19" s="15">
        <f t="shared" si="0"/>
        <v>0</v>
      </c>
      <c r="F19" s="5">
        <f t="shared" si="1"/>
        <v>0</v>
      </c>
      <c r="G19" s="265" t="s">
        <v>53</v>
      </c>
    </row>
    <row r="20" spans="1:7" s="8" customFormat="1" x14ac:dyDescent="0.25">
      <c r="A20" s="49" t="s">
        <v>18</v>
      </c>
      <c r="B20" s="50">
        <v>546312</v>
      </c>
      <c r="C20" s="238">
        <v>71810.509999999995</v>
      </c>
      <c r="D20" s="10">
        <f t="shared" ref="D20:D39" si="2">C20/B20*100</f>
        <v>13.144596860402114</v>
      </c>
      <c r="E20" s="10">
        <f t="shared" si="0"/>
        <v>24.893814646846604</v>
      </c>
      <c r="F20" s="9">
        <f t="shared" si="1"/>
        <v>474501.49</v>
      </c>
      <c r="G20" s="265" t="s">
        <v>53</v>
      </c>
    </row>
    <row r="21" spans="1:7" s="8" customFormat="1" x14ac:dyDescent="0.25">
      <c r="A21" s="49" t="s">
        <v>37</v>
      </c>
      <c r="B21" s="50">
        <v>82315</v>
      </c>
      <c r="C21" s="238">
        <v>13719.16</v>
      </c>
      <c r="D21" s="10">
        <f t="shared" si="2"/>
        <v>16.666658567697258</v>
      </c>
      <c r="E21" s="10">
        <f t="shared" si="0"/>
        <v>4.7558808056151118</v>
      </c>
      <c r="F21" s="9">
        <f t="shared" si="1"/>
        <v>68595.839999999997</v>
      </c>
      <c r="G21" s="265" t="s">
        <v>53</v>
      </c>
    </row>
    <row r="22" spans="1:7" s="8" customFormat="1" x14ac:dyDescent="0.25">
      <c r="A22" s="49" t="s">
        <v>38</v>
      </c>
      <c r="B22" s="50">
        <f>B23+B24</f>
        <v>0</v>
      </c>
      <c r="C22" s="232">
        <f>C23+C24</f>
        <v>3953.74</v>
      </c>
      <c r="D22" s="10" t="e">
        <f t="shared" si="2"/>
        <v>#DIV/0!</v>
      </c>
      <c r="E22" s="10">
        <f>E23+E24</f>
        <v>1.3706025861927911</v>
      </c>
      <c r="F22" s="9">
        <f>F23+F24</f>
        <v>-3953.74</v>
      </c>
      <c r="G22" s="265" t="s">
        <v>53</v>
      </c>
    </row>
    <row r="23" spans="1:7" s="1" customFormat="1" x14ac:dyDescent="0.25">
      <c r="A23" s="47" t="s">
        <v>39</v>
      </c>
      <c r="B23" s="48">
        <v>0</v>
      </c>
      <c r="C23" s="236">
        <v>3953.74</v>
      </c>
      <c r="D23" s="15" t="e">
        <f t="shared" si="2"/>
        <v>#DIV/0!</v>
      </c>
      <c r="E23" s="15">
        <f>C23/$C$27*100</f>
        <v>1.3706025861927911</v>
      </c>
      <c r="F23" s="5">
        <f>B23-C23</f>
        <v>-3953.74</v>
      </c>
      <c r="G23" s="265"/>
    </row>
    <row r="24" spans="1:7" s="1" customFormat="1" x14ac:dyDescent="0.25">
      <c r="A24" s="47" t="s">
        <v>40</v>
      </c>
      <c r="B24" s="48">
        <v>0</v>
      </c>
      <c r="C24" s="236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65" t="s">
        <v>53</v>
      </c>
    </row>
    <row r="25" spans="1:7" s="1" customFormat="1" x14ac:dyDescent="0.25">
      <c r="A25" s="11" t="s">
        <v>21</v>
      </c>
      <c r="B25" s="13">
        <f>B26</f>
        <v>50000</v>
      </c>
      <c r="C25" s="217">
        <f>C26</f>
        <v>0</v>
      </c>
      <c r="D25" s="14">
        <f t="shared" si="2"/>
        <v>0</v>
      </c>
      <c r="E25" s="14">
        <f>E26</f>
        <v>0</v>
      </c>
      <c r="F25" s="13">
        <f>F26</f>
        <v>50000</v>
      </c>
      <c r="G25" s="264" t="s">
        <v>53</v>
      </c>
    </row>
    <row r="26" spans="1:7" s="1" customFormat="1" x14ac:dyDescent="0.25">
      <c r="A26" s="47" t="s">
        <v>19</v>
      </c>
      <c r="B26" s="48">
        <v>50000</v>
      </c>
      <c r="C26" s="219">
        <v>0</v>
      </c>
      <c r="D26" s="15">
        <f t="shared" si="2"/>
        <v>0</v>
      </c>
      <c r="E26" s="15">
        <f>C26/$C$27*100</f>
        <v>0</v>
      </c>
      <c r="F26" s="5">
        <f>B26-C26</f>
        <v>50000</v>
      </c>
      <c r="G26" s="265"/>
    </row>
    <row r="27" spans="1:7" s="1" customFormat="1" x14ac:dyDescent="0.25">
      <c r="A27" s="16" t="s">
        <v>22</v>
      </c>
      <c r="B27" s="17">
        <f>B13+B25</f>
        <v>1175255</v>
      </c>
      <c r="C27" s="220">
        <f>C13+C25</f>
        <v>288467.27999999997</v>
      </c>
      <c r="D27" s="18">
        <f t="shared" si="2"/>
        <v>24.545080003914041</v>
      </c>
      <c r="E27" s="18">
        <f>E13+E25</f>
        <v>100.00000000000001</v>
      </c>
      <c r="F27" s="17">
        <f>F13+F25</f>
        <v>886787.72</v>
      </c>
      <c r="G27" s="266" t="s">
        <v>53</v>
      </c>
    </row>
    <row r="28" spans="1:7" s="1" customFormat="1" x14ac:dyDescent="0.25">
      <c r="A28" s="274" t="s">
        <v>31</v>
      </c>
      <c r="B28" s="275"/>
      <c r="C28" s="275"/>
      <c r="D28" s="275"/>
      <c r="E28" s="275"/>
      <c r="F28" s="275"/>
      <c r="G28" s="276"/>
    </row>
    <row r="29" spans="1:7" s="1" customFormat="1" ht="24.95" customHeight="1" x14ac:dyDescent="0.25">
      <c r="A29" s="242" t="s">
        <v>23</v>
      </c>
      <c r="B29" s="243">
        <f>B30+B33</f>
        <v>1042996</v>
      </c>
      <c r="C29" s="243">
        <f>C30+C33</f>
        <v>113368.18</v>
      </c>
      <c r="D29" s="244">
        <f t="shared" si="2"/>
        <v>10.869474091942825</v>
      </c>
      <c r="E29" s="244">
        <f>E30+E33</f>
        <v>91.794424797928784</v>
      </c>
      <c r="F29" s="243">
        <f>F30+F33</f>
        <v>929627.82000000007</v>
      </c>
      <c r="G29" s="262" t="s">
        <v>53</v>
      </c>
    </row>
    <row r="30" spans="1:7" s="8" customFormat="1" x14ac:dyDescent="0.25">
      <c r="A30" s="248" t="s">
        <v>26</v>
      </c>
      <c r="B30" s="249">
        <f>SUM(B31:B32)</f>
        <v>992996</v>
      </c>
      <c r="C30" s="249">
        <f>SUM(C31:C32)</f>
        <v>113368.18</v>
      </c>
      <c r="D30" s="250">
        <f t="shared" si="2"/>
        <v>11.41678113507003</v>
      </c>
      <c r="E30" s="250">
        <f>SUM(E31:E32)</f>
        <v>91.794424797928784</v>
      </c>
      <c r="F30" s="249">
        <f>SUM(F31:F32)</f>
        <v>879627.82000000007</v>
      </c>
      <c r="G30" s="261" t="s">
        <v>53</v>
      </c>
    </row>
    <row r="31" spans="1:7" s="1" customFormat="1" x14ac:dyDescent="0.25">
      <c r="A31" s="255" t="s">
        <v>24</v>
      </c>
      <c r="B31" s="256">
        <f>'Exec Orçamentária'!D12+'Exec Orçamentária'!D13+'Exec Orçamentária'!D14+'Exec Orçamentária'!D15+'Exec Orçamentária'!D16+'Exec Orçamentária'!D26</f>
        <v>81036</v>
      </c>
      <c r="C31" s="256">
        <f>'Exec Orçamentária'!F12+'Exec Orçamentária'!F13+'Exec Orçamentária'!F14+'Exec Orçamentária'!F15+'Exec Orçamentária'!F16+'Exec Orçamentária'!F26</f>
        <v>750</v>
      </c>
      <c r="D31" s="257">
        <f t="shared" si="2"/>
        <v>0.92551458610987714</v>
      </c>
      <c r="E31" s="257">
        <f>C31/$C$39*100</f>
        <v>0.60727638565289299</v>
      </c>
      <c r="F31" s="258">
        <f>B31-C31</f>
        <v>80286</v>
      </c>
      <c r="G31" s="261" t="s">
        <v>53</v>
      </c>
    </row>
    <row r="32" spans="1:7" s="1" customFormat="1" x14ac:dyDescent="0.25">
      <c r="A32" s="255" t="s">
        <v>25</v>
      </c>
      <c r="B32" s="256">
        <f>'Exec Orçamentária'!D17+'Exec Orçamentária'!D18+'Exec Orçamentária'!D19+'Exec Orçamentária'!D20+'Exec Orçamentária'!D21+'Exec Orçamentária'!D22</f>
        <v>911960</v>
      </c>
      <c r="C32" s="256">
        <f>'Exec Orçamentária'!F17+'Exec Orçamentária'!F18+'Exec Orçamentária'!F19+'Exec Orçamentária'!F20+'Exec Orçamentária'!F21+'Exec Orçamentária'!F22</f>
        <v>112618.18</v>
      </c>
      <c r="D32" s="257">
        <f t="shared" si="2"/>
        <v>12.349026273082151</v>
      </c>
      <c r="E32" s="257">
        <f>C32/$C$39*100</f>
        <v>91.187148412275889</v>
      </c>
      <c r="F32" s="258">
        <f>B32-C32</f>
        <v>799341.82000000007</v>
      </c>
      <c r="G32" s="261" t="s">
        <v>53</v>
      </c>
    </row>
    <row r="33" spans="1:7" s="8" customFormat="1" x14ac:dyDescent="0.25">
      <c r="A33" s="259" t="s">
        <v>27</v>
      </c>
      <c r="B33" s="260">
        <f>SUM(B34:B35)</f>
        <v>50000</v>
      </c>
      <c r="C33" s="260">
        <f>SUM(C34:C35)</f>
        <v>0</v>
      </c>
      <c r="D33" s="250">
        <f t="shared" si="2"/>
        <v>0</v>
      </c>
      <c r="E33" s="250">
        <f>SUM(E34:E35)</f>
        <v>0</v>
      </c>
      <c r="F33" s="249">
        <f>SUM(F34:F35)</f>
        <v>50000</v>
      </c>
      <c r="G33" s="261" t="s">
        <v>53</v>
      </c>
    </row>
    <row r="34" spans="1:7" s="1" customFormat="1" x14ac:dyDescent="0.25">
      <c r="A34" s="255" t="s">
        <v>24</v>
      </c>
      <c r="B34" s="256">
        <f>'Exec Orçamentária'!D28</f>
        <v>50000</v>
      </c>
      <c r="C34" s="256">
        <f>'Exec Orçamentária'!F28</f>
        <v>0</v>
      </c>
      <c r="D34" s="257">
        <f t="shared" si="2"/>
        <v>0</v>
      </c>
      <c r="E34" s="257">
        <f>C34/$C$39*100</f>
        <v>0</v>
      </c>
      <c r="F34" s="258">
        <f>B34-C34</f>
        <v>50000</v>
      </c>
      <c r="G34" s="261"/>
    </row>
    <row r="35" spans="1:7" s="1" customFormat="1" x14ac:dyDescent="0.25">
      <c r="A35" s="255" t="s">
        <v>25</v>
      </c>
      <c r="B35" s="256">
        <v>0</v>
      </c>
      <c r="C35" s="256">
        <v>0</v>
      </c>
      <c r="D35" s="257">
        <v>0</v>
      </c>
      <c r="E35" s="257">
        <f>C35/$C$39*100</f>
        <v>0</v>
      </c>
      <c r="F35" s="258">
        <f>B35-C35</f>
        <v>0</v>
      </c>
      <c r="G35" s="261" t="s">
        <v>64</v>
      </c>
    </row>
    <row r="36" spans="1:7" s="1" customFormat="1" x14ac:dyDescent="0.25">
      <c r="A36" s="242" t="s">
        <v>28</v>
      </c>
      <c r="B36" s="243">
        <f>'Exec Orçamentária'!D24</f>
        <v>35884</v>
      </c>
      <c r="C36" s="243">
        <f>'Exec Orçamentária'!F24</f>
        <v>2990.33</v>
      </c>
      <c r="D36" s="244">
        <v>0</v>
      </c>
      <c r="E36" s="244">
        <f>C36/$C$39*100</f>
        <v>2.421275725745887</v>
      </c>
      <c r="F36" s="243">
        <f>B36-C36</f>
        <v>32893.67</v>
      </c>
      <c r="G36" s="262" t="s">
        <v>64</v>
      </c>
    </row>
    <row r="37" spans="1:7" s="1" customFormat="1" x14ac:dyDescent="0.25">
      <c r="A37" s="242" t="s">
        <v>63</v>
      </c>
      <c r="B37" s="243">
        <f>'Exec Orçamentária'!D23</f>
        <v>85725</v>
      </c>
      <c r="C37" s="243">
        <f>'Exec Orçamentária'!F23</f>
        <v>7143.74</v>
      </c>
      <c r="D37" s="244">
        <v>1</v>
      </c>
      <c r="E37" s="244">
        <f>C37/$C$39*100</f>
        <v>5.7842994763253301</v>
      </c>
      <c r="F37" s="243">
        <f>B37-C37</f>
        <v>78581.259999999995</v>
      </c>
      <c r="G37" s="262" t="s">
        <v>64</v>
      </c>
    </row>
    <row r="38" spans="1:7" s="1" customFormat="1" x14ac:dyDescent="0.25">
      <c r="A38" s="242" t="s">
        <v>66</v>
      </c>
      <c r="B38" s="243">
        <f>'Exec Orçamentária'!D25</f>
        <v>10650</v>
      </c>
      <c r="C38" s="243">
        <f>'Exec Orçamentária'!F25</f>
        <v>0</v>
      </c>
      <c r="D38" s="244">
        <v>1</v>
      </c>
      <c r="E38" s="244">
        <f>C38/$C$39*100</f>
        <v>0</v>
      </c>
      <c r="F38" s="243">
        <f>B38-C38</f>
        <v>10650</v>
      </c>
      <c r="G38" s="262" t="s">
        <v>64</v>
      </c>
    </row>
    <row r="39" spans="1:7" s="1" customFormat="1" x14ac:dyDescent="0.25">
      <c r="A39" s="245" t="s">
        <v>29</v>
      </c>
      <c r="B39" s="246">
        <f>B29+B36+B37+B38</f>
        <v>1175255</v>
      </c>
      <c r="C39" s="246">
        <f>C29+C36+C37+C38</f>
        <v>123502.25</v>
      </c>
      <c r="D39" s="247">
        <f t="shared" si="2"/>
        <v>10.508549208469651</v>
      </c>
      <c r="E39" s="247">
        <f>E29+E36</f>
        <v>94.21570052367467</v>
      </c>
      <c r="F39" s="246">
        <f>F29+F36</f>
        <v>962521.49000000011</v>
      </c>
      <c r="G39" s="263" t="s">
        <v>53</v>
      </c>
    </row>
    <row r="40" spans="1:7" s="8" customFormat="1" x14ac:dyDescent="0.25">
      <c r="A40" s="248" t="s">
        <v>32</v>
      </c>
      <c r="B40" s="249">
        <f>B27-B39</f>
        <v>0</v>
      </c>
      <c r="C40" s="249">
        <f>C27-C39</f>
        <v>164965.02999999997</v>
      </c>
      <c r="D40" s="250"/>
      <c r="E40" s="250"/>
      <c r="F40" s="249">
        <f>F27-F39</f>
        <v>-75733.770000000135</v>
      </c>
      <c r="G40" s="261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Normal="10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7" customWidth="1"/>
    <col min="2" max="3" width="4.42578125" style="37" customWidth="1"/>
    <col min="4" max="4" width="21.7109375" style="37" customWidth="1"/>
    <col min="5" max="5" width="37.140625" style="37" customWidth="1"/>
    <col min="6" max="6" width="29.28515625" style="37" customWidth="1"/>
    <col min="7" max="7" width="50.85546875" style="37" customWidth="1"/>
    <col min="8" max="9" width="37.7109375" style="37" customWidth="1"/>
    <col min="10" max="16384" width="9.140625" style="37"/>
  </cols>
  <sheetData>
    <row r="7" spans="1:9" x14ac:dyDescent="0.25">
      <c r="A7" s="282" t="s">
        <v>60</v>
      </c>
      <c r="B7" s="282"/>
      <c r="C7" s="282"/>
      <c r="D7" s="282"/>
      <c r="E7" s="282"/>
      <c r="F7" s="282"/>
      <c r="G7" s="282"/>
      <c r="H7" s="282"/>
      <c r="I7" s="282"/>
    </row>
    <row r="8" spans="1:9" x14ac:dyDescent="0.25">
      <c r="A8" s="38" t="s">
        <v>61</v>
      </c>
    </row>
    <row r="10" spans="1:9" x14ac:dyDescent="0.25">
      <c r="A10" s="281" t="s">
        <v>86</v>
      </c>
      <c r="B10" s="281"/>
      <c r="C10" s="281"/>
      <c r="D10" s="281"/>
    </row>
    <row r="12" spans="1:9" x14ac:dyDescent="0.25">
      <c r="A12" s="37" t="s">
        <v>45</v>
      </c>
      <c r="B12" s="281"/>
      <c r="C12" s="281"/>
      <c r="D12" s="281"/>
    </row>
    <row r="13" spans="1:9" x14ac:dyDescent="0.25">
      <c r="A13" s="37" t="s">
        <v>46</v>
      </c>
      <c r="B13" s="283"/>
      <c r="C13" s="283"/>
      <c r="D13" s="283"/>
    </row>
    <row r="15" spans="1:9" x14ac:dyDescent="0.25">
      <c r="A15" s="289" t="s">
        <v>57</v>
      </c>
      <c r="B15" s="289"/>
      <c r="C15" s="289"/>
      <c r="D15" s="289"/>
      <c r="E15" s="289"/>
      <c r="F15" s="289"/>
      <c r="G15" s="289"/>
      <c r="H15" s="289"/>
      <c r="I15" s="289"/>
    </row>
    <row r="16" spans="1:9" ht="18" customHeight="1" x14ac:dyDescent="0.25">
      <c r="A16" s="284" t="s">
        <v>56</v>
      </c>
      <c r="B16" s="286" t="s">
        <v>1</v>
      </c>
      <c r="C16" s="287"/>
      <c r="D16" s="288"/>
      <c r="E16" s="286" t="s">
        <v>5</v>
      </c>
      <c r="F16" s="288"/>
      <c r="G16" s="286" t="s">
        <v>6</v>
      </c>
      <c r="H16" s="288"/>
      <c r="I16" s="284" t="s">
        <v>41</v>
      </c>
    </row>
    <row r="17" spans="1:9" ht="59.25" customHeight="1" x14ac:dyDescent="0.25">
      <c r="A17" s="285"/>
      <c r="B17" s="61" t="s">
        <v>2</v>
      </c>
      <c r="C17" s="61" t="s">
        <v>42</v>
      </c>
      <c r="D17" s="61" t="s">
        <v>3</v>
      </c>
      <c r="E17" s="61" t="s">
        <v>4</v>
      </c>
      <c r="F17" s="61" t="s">
        <v>7</v>
      </c>
      <c r="G17" s="61" t="s">
        <v>8</v>
      </c>
      <c r="H17" s="61" t="s">
        <v>9</v>
      </c>
      <c r="I17" s="285"/>
    </row>
    <row r="18" spans="1:9" ht="15.75" x14ac:dyDescent="0.25">
      <c r="A18" s="63" t="s">
        <v>67</v>
      </c>
      <c r="B18" s="64" t="s">
        <v>43</v>
      </c>
      <c r="C18" s="39"/>
      <c r="D18" s="62" t="s">
        <v>70</v>
      </c>
      <c r="E18" s="57"/>
      <c r="F18" s="41"/>
      <c r="G18" s="60"/>
      <c r="H18" s="42"/>
      <c r="I18" s="41"/>
    </row>
    <row r="19" spans="1:9" ht="15.75" x14ac:dyDescent="0.25">
      <c r="A19" s="63" t="s">
        <v>67</v>
      </c>
      <c r="B19" s="64" t="s">
        <v>43</v>
      </c>
      <c r="C19" s="39"/>
      <c r="D19" s="62" t="s">
        <v>71</v>
      </c>
      <c r="E19" s="40"/>
      <c r="F19" s="41"/>
      <c r="G19" s="42"/>
      <c r="H19" s="42"/>
      <c r="I19" s="58"/>
    </row>
    <row r="20" spans="1:9" ht="31.5" x14ac:dyDescent="0.2">
      <c r="A20" s="63" t="s">
        <v>67</v>
      </c>
      <c r="B20" s="64" t="s">
        <v>43</v>
      </c>
      <c r="C20" s="39"/>
      <c r="D20" s="62" t="s">
        <v>88</v>
      </c>
      <c r="E20" s="58"/>
      <c r="F20" s="41"/>
      <c r="G20" s="41"/>
      <c r="H20" s="41"/>
      <c r="I20" s="59"/>
    </row>
    <row r="21" spans="1:9" ht="31.5" x14ac:dyDescent="0.2">
      <c r="A21" s="63" t="s">
        <v>68</v>
      </c>
      <c r="B21" s="64" t="s">
        <v>43</v>
      </c>
      <c r="C21" s="39"/>
      <c r="D21" s="62" t="s">
        <v>89</v>
      </c>
      <c r="E21" s="58"/>
      <c r="F21" s="41"/>
      <c r="G21" s="41"/>
      <c r="H21" s="42"/>
      <c r="I21" s="59"/>
    </row>
    <row r="22" spans="1:9" ht="15.75" x14ac:dyDescent="0.2">
      <c r="A22" s="63" t="s">
        <v>68</v>
      </c>
      <c r="B22" s="64" t="s">
        <v>43</v>
      </c>
      <c r="C22" s="39"/>
      <c r="D22" s="62" t="s">
        <v>90</v>
      </c>
      <c r="E22" s="58"/>
      <c r="F22" s="41"/>
      <c r="G22" s="41"/>
      <c r="H22" s="41"/>
      <c r="I22" s="59"/>
    </row>
    <row r="23" spans="1:9" ht="31.5" x14ac:dyDescent="0.2">
      <c r="A23" s="63" t="s">
        <v>68</v>
      </c>
      <c r="B23" s="64" t="s">
        <v>43</v>
      </c>
      <c r="C23" s="39"/>
      <c r="D23" s="62" t="s">
        <v>91</v>
      </c>
      <c r="E23" s="58"/>
      <c r="F23" s="43"/>
      <c r="G23" s="41"/>
      <c r="H23" s="40"/>
      <c r="I23" s="59"/>
    </row>
    <row r="24" spans="1:9" ht="15.75" x14ac:dyDescent="0.2">
      <c r="A24" s="63" t="s">
        <v>69</v>
      </c>
      <c r="B24" s="64" t="s">
        <v>44</v>
      </c>
      <c r="C24" s="39"/>
      <c r="D24" s="62" t="s">
        <v>73</v>
      </c>
      <c r="E24" s="58"/>
      <c r="F24" s="41"/>
      <c r="G24" s="41"/>
      <c r="H24" s="41"/>
      <c r="I24" s="59"/>
    </row>
    <row r="25" spans="1:9" ht="31.5" x14ac:dyDescent="0.2">
      <c r="A25" s="63" t="s">
        <v>69</v>
      </c>
      <c r="B25" s="64" t="s">
        <v>43</v>
      </c>
      <c r="C25" s="39"/>
      <c r="D25" s="62" t="s">
        <v>74</v>
      </c>
      <c r="E25" s="58"/>
      <c r="F25" s="41"/>
      <c r="G25" s="41"/>
      <c r="H25" s="41"/>
      <c r="I25" s="59"/>
    </row>
    <row r="26" spans="1:9" ht="15.75" x14ac:dyDescent="0.2">
      <c r="A26" s="63" t="s">
        <v>69</v>
      </c>
      <c r="B26" s="64" t="s">
        <v>43</v>
      </c>
      <c r="C26" s="39"/>
      <c r="D26" s="62" t="s">
        <v>75</v>
      </c>
      <c r="E26" s="58"/>
      <c r="F26" s="41"/>
      <c r="G26" s="41"/>
      <c r="H26" s="41"/>
      <c r="I26" s="59"/>
    </row>
    <row r="27" spans="1:9" ht="15.75" x14ac:dyDescent="0.2">
      <c r="A27" s="63" t="s">
        <v>69</v>
      </c>
      <c r="B27" s="64" t="s">
        <v>44</v>
      </c>
      <c r="C27" s="39"/>
      <c r="D27" s="62" t="s">
        <v>92</v>
      </c>
      <c r="E27" s="58"/>
      <c r="F27" s="41"/>
      <c r="G27" s="41"/>
      <c r="H27" s="41"/>
      <c r="I27" s="59"/>
    </row>
    <row r="28" spans="1:9" ht="63" x14ac:dyDescent="0.2">
      <c r="A28" s="63" t="s">
        <v>69</v>
      </c>
      <c r="B28" s="64" t="s">
        <v>44</v>
      </c>
      <c r="C28" s="39"/>
      <c r="D28" s="62" t="s">
        <v>93</v>
      </c>
      <c r="E28" s="58"/>
      <c r="F28" s="41"/>
      <c r="G28" s="41"/>
      <c r="H28" s="41"/>
      <c r="I28" s="59"/>
    </row>
    <row r="29" spans="1:9" ht="31.5" x14ac:dyDescent="0.2">
      <c r="A29" s="63" t="s">
        <v>69</v>
      </c>
      <c r="B29" s="64" t="s">
        <v>44</v>
      </c>
      <c r="C29" s="39"/>
      <c r="D29" s="62" t="s">
        <v>76</v>
      </c>
      <c r="E29" s="58"/>
      <c r="F29" s="41"/>
      <c r="G29" s="41"/>
      <c r="H29" s="41"/>
      <c r="I29" s="59"/>
    </row>
    <row r="30" spans="1:9" ht="63" x14ac:dyDescent="0.2">
      <c r="A30" s="63" t="s">
        <v>69</v>
      </c>
      <c r="B30" s="64" t="s">
        <v>44</v>
      </c>
      <c r="C30" s="39"/>
      <c r="D30" s="62" t="s">
        <v>72</v>
      </c>
      <c r="E30" s="58"/>
      <c r="F30" s="41"/>
      <c r="G30" s="41"/>
      <c r="H30" s="41"/>
      <c r="I30" s="59"/>
    </row>
    <row r="31" spans="1:9" ht="47.25" x14ac:dyDescent="0.2">
      <c r="A31" s="63" t="s">
        <v>69</v>
      </c>
      <c r="B31" s="64" t="s">
        <v>44</v>
      </c>
      <c r="C31" s="39"/>
      <c r="D31" s="62" t="s">
        <v>78</v>
      </c>
      <c r="E31" s="58"/>
      <c r="F31" s="41"/>
      <c r="G31" s="41"/>
      <c r="H31" s="41"/>
      <c r="I31" s="59"/>
    </row>
    <row r="32" spans="1:9" ht="63" x14ac:dyDescent="0.2">
      <c r="A32" s="63" t="s">
        <v>69</v>
      </c>
      <c r="B32" s="64" t="s">
        <v>44</v>
      </c>
      <c r="C32" s="39"/>
      <c r="D32" s="62" t="s">
        <v>79</v>
      </c>
      <c r="E32" s="58"/>
      <c r="F32" s="41"/>
      <c r="G32" s="41"/>
      <c r="H32" s="41"/>
      <c r="I32" s="59"/>
    </row>
    <row r="33" spans="1:9" ht="31.5" x14ac:dyDescent="0.2">
      <c r="A33" s="63" t="s">
        <v>69</v>
      </c>
      <c r="B33" s="64" t="s">
        <v>44</v>
      </c>
      <c r="C33" s="39"/>
      <c r="D33" s="62" t="s">
        <v>80</v>
      </c>
      <c r="E33" s="58"/>
      <c r="F33" s="41"/>
      <c r="G33" s="41"/>
      <c r="H33" s="41"/>
      <c r="I33" s="59"/>
    </row>
    <row r="34" spans="1:9" ht="47.25" x14ac:dyDescent="0.2">
      <c r="A34" s="63" t="s">
        <v>95</v>
      </c>
      <c r="B34" s="64" t="s">
        <v>43</v>
      </c>
      <c r="C34" s="39"/>
      <c r="D34" s="62" t="s">
        <v>94</v>
      </c>
      <c r="E34" s="40"/>
      <c r="F34" s="44"/>
      <c r="G34" s="45"/>
      <c r="H34" s="45"/>
      <c r="I34" s="59"/>
    </row>
    <row r="35" spans="1:9" ht="31.5" x14ac:dyDescent="0.2">
      <c r="A35" s="63" t="s">
        <v>69</v>
      </c>
      <c r="B35" s="64" t="s">
        <v>43</v>
      </c>
      <c r="C35" s="39"/>
      <c r="D35" s="62" t="s">
        <v>77</v>
      </c>
      <c r="E35" s="40"/>
      <c r="F35" s="41"/>
      <c r="G35" s="41"/>
      <c r="H35" s="41"/>
      <c r="I35" s="59"/>
    </row>
    <row r="36" spans="1:9" ht="23.25" customHeight="1" x14ac:dyDescent="0.25">
      <c r="A36" s="280" t="s">
        <v>62</v>
      </c>
      <c r="B36" s="280"/>
      <c r="C36" s="280"/>
      <c r="D36" s="280"/>
      <c r="E36" s="280"/>
      <c r="F36" s="280"/>
      <c r="G36" s="280"/>
      <c r="H36" s="280"/>
      <c r="I36" s="280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Normal="10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29" customWidth="1"/>
    <col min="3" max="4" width="4.42578125" style="1" customWidth="1"/>
    <col min="5" max="5" width="33.7109375" style="1" customWidth="1"/>
    <col min="6" max="6" width="12.140625" style="29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294" t="s">
        <v>87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x14ac:dyDescent="0.25">
      <c r="B7" s="1" t="s">
        <v>96</v>
      </c>
    </row>
    <row r="8" spans="1:13" x14ac:dyDescent="0.25">
      <c r="B8" s="29" t="str">
        <f>'2. Exec Plano de Ação'!A12</f>
        <v>Responsável pela Análise:</v>
      </c>
      <c r="C8" s="295"/>
      <c r="D8" s="295"/>
      <c r="E8" s="295"/>
    </row>
    <row r="9" spans="1:13" x14ac:dyDescent="0.25">
      <c r="B9" s="29" t="s">
        <v>54</v>
      </c>
      <c r="C9" s="296"/>
      <c r="D9" s="296"/>
      <c r="E9" s="296"/>
    </row>
    <row r="11" spans="1:13" x14ac:dyDescent="0.25">
      <c r="B11" s="293" t="s">
        <v>58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</row>
    <row r="12" spans="1:13" x14ac:dyDescent="0.25">
      <c r="B12" s="298" t="s">
        <v>0</v>
      </c>
      <c r="C12" s="298" t="s">
        <v>1</v>
      </c>
      <c r="D12" s="298"/>
      <c r="E12" s="298"/>
      <c r="F12" s="298" t="s">
        <v>35</v>
      </c>
      <c r="G12" s="298"/>
      <c r="H12" s="298"/>
      <c r="I12" s="298" t="s">
        <v>36</v>
      </c>
      <c r="J12" s="298"/>
      <c r="K12" s="298" t="s">
        <v>10</v>
      </c>
      <c r="L12" s="298"/>
      <c r="M12" s="298" t="s">
        <v>34</v>
      </c>
    </row>
    <row r="13" spans="1:13" ht="75" x14ac:dyDescent="0.25">
      <c r="B13" s="298"/>
      <c r="C13" s="19" t="s">
        <v>2</v>
      </c>
      <c r="D13" s="19" t="s">
        <v>42</v>
      </c>
      <c r="E13" s="19" t="s">
        <v>3</v>
      </c>
      <c r="F13" s="19" t="s">
        <v>47</v>
      </c>
      <c r="G13" s="19" t="s">
        <v>48</v>
      </c>
      <c r="H13" s="19" t="s">
        <v>49</v>
      </c>
      <c r="I13" s="19" t="s">
        <v>50</v>
      </c>
      <c r="J13" s="19" t="s">
        <v>55</v>
      </c>
      <c r="K13" s="19" t="s">
        <v>51</v>
      </c>
      <c r="L13" s="19" t="s">
        <v>52</v>
      </c>
      <c r="M13" s="298"/>
    </row>
    <row r="14" spans="1:13" ht="24" x14ac:dyDescent="0.25">
      <c r="A14" s="1">
        <v>1</v>
      </c>
      <c r="B14" s="22" t="str">
        <f>'2. Exec Plano de Ação'!A18</f>
        <v xml:space="preserve">Comissão Exercício Profissional - CEP </v>
      </c>
      <c r="C14" s="22" t="str">
        <f>'2. Exec Plano de Ação'!B18</f>
        <v>P</v>
      </c>
      <c r="D14" s="23"/>
      <c r="E14" s="24" t="str">
        <f>'2. Exec Plano de Ação'!D18</f>
        <v>Caravana CAU</v>
      </c>
      <c r="F14" s="65">
        <v>1200</v>
      </c>
      <c r="G14" s="25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2" t="str">
        <f>'2. Exec Plano de Ação'!A19</f>
        <v xml:space="preserve">Comissão Exercício Profissional - CEP </v>
      </c>
      <c r="C15" s="22" t="str">
        <f>'2. Exec Plano de Ação'!B19</f>
        <v>P</v>
      </c>
      <c r="D15" s="23"/>
      <c r="E15" s="24" t="str">
        <f>'2. Exec Plano de Ação'!D19</f>
        <v>Cauniversitário</v>
      </c>
      <c r="F15" s="65">
        <v>3500</v>
      </c>
      <c r="G15" s="25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2" t="str">
        <f>'2. Exec Plano de Ação'!A20</f>
        <v xml:space="preserve">Comissão Exercício Profissional - CEP </v>
      </c>
      <c r="C16" s="22" t="str">
        <f>'2. Exec Plano de Ação'!B20</f>
        <v>P</v>
      </c>
      <c r="D16" s="23"/>
      <c r="E16" s="24" t="str">
        <f>'2. Exec Plano de Ação'!D20</f>
        <v>sou arquiteto, e agora?</v>
      </c>
      <c r="F16" s="65">
        <v>17000</v>
      </c>
      <c r="G16" s="25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2" t="str">
        <f>'2. Exec Plano de Ação'!A21</f>
        <v>Comissão de Ensino e Formação - CEF</v>
      </c>
      <c r="C17" s="22" t="str">
        <f>'2. Exec Plano de Ação'!B21</f>
        <v>P</v>
      </c>
      <c r="D17" s="23"/>
      <c r="E17" s="24" t="str">
        <f>'2. Exec Plano de Ação'!D21</f>
        <v>Dia do Arquiteto
(Prêmio TFG)</v>
      </c>
      <c r="F17" s="65">
        <v>22000</v>
      </c>
      <c r="G17" s="25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2" t="str">
        <f>'2. Exec Plano de Ação'!A22</f>
        <v>Comissão de Ensino e Formação - CEF</v>
      </c>
      <c r="C18" s="22" t="str">
        <f>'2. Exec Plano de Ação'!B22</f>
        <v>P</v>
      </c>
      <c r="D18" s="23"/>
      <c r="E18" s="24" t="str">
        <f>'2. Exec Plano de Ação'!D22</f>
        <v>Residência Técnica</v>
      </c>
      <c r="F18" s="65">
        <v>3250</v>
      </c>
      <c r="G18" s="25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2" t="str">
        <f>'2. Exec Plano de Ação'!A23</f>
        <v>Comissão de Ensino e Formação - CEF</v>
      </c>
      <c r="C19" s="22" t="str">
        <f>'2. Exec Plano de Ação'!B23</f>
        <v>P</v>
      </c>
      <c r="D19" s="23"/>
      <c r="E19" s="24" t="str">
        <f>'2. Exec Plano de Ação'!D23</f>
        <v>Programa de Formação continuada</v>
      </c>
      <c r="F19" s="65">
        <v>3250</v>
      </c>
      <c r="G19" s="25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2" t="str">
        <f>'2. Exec Plano de Ação'!A24</f>
        <v>Presidência</v>
      </c>
      <c r="C20" s="22" t="str">
        <f>'2. Exec Plano de Ação'!B24</f>
        <v>A</v>
      </c>
      <c r="D20" s="23"/>
      <c r="E20" s="24" t="str">
        <f>'2. Exec Plano de Ação'!D24</f>
        <v>Capacitação</v>
      </c>
      <c r="F20" s="65">
        <v>20055</v>
      </c>
      <c r="G20" s="28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2" t="str">
        <f>'2. Exec Plano de Ação'!A25</f>
        <v>Presidência</v>
      </c>
      <c r="C21" s="22" t="str">
        <f>'2. Exec Plano de Ação'!B25</f>
        <v>P</v>
      </c>
      <c r="D21" s="23"/>
      <c r="E21" s="24" t="str">
        <f>'2. Exec Plano de Ação'!D25</f>
        <v>Comunicação - plano de mídia</v>
      </c>
      <c r="F21" s="65">
        <v>30083</v>
      </c>
      <c r="G21" s="26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2" t="str">
        <f>'2. Exec Plano de Ação'!A26</f>
        <v>Presidência</v>
      </c>
      <c r="C22" s="22" t="str">
        <f>'2. Exec Plano de Ação'!B26</f>
        <v>P</v>
      </c>
      <c r="D22" s="23"/>
      <c r="E22" s="24" t="str">
        <f>'2. Exec Plano de Ação'!D26</f>
        <v>Patrocínio</v>
      </c>
      <c r="F22" s="65">
        <v>10028</v>
      </c>
      <c r="G22" s="26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2" t="str">
        <f>'2. Exec Plano de Ação'!A27</f>
        <v>Presidência</v>
      </c>
      <c r="C23" s="22" t="str">
        <f>'2. Exec Plano de Ação'!B27</f>
        <v>A</v>
      </c>
      <c r="D23" s="23"/>
      <c r="E23" s="24" t="str">
        <f>'2. Exec Plano de Ação'!D27</f>
        <v>Atendimento</v>
      </c>
      <c r="F23" s="65">
        <v>127067</v>
      </c>
      <c r="G23" s="26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2" t="str">
        <f>'2. Exec Plano de Ação'!A28</f>
        <v>Presidência</v>
      </c>
      <c r="C24" s="22" t="str">
        <f>'2. Exec Plano de Ação'!B28</f>
        <v>A</v>
      </c>
      <c r="D24" s="23"/>
      <c r="E24" s="24" t="str">
        <f>'2. Exec Plano de Ação'!D28</f>
        <v>Manutenção das rotinas administrativas do CAU/AL</v>
      </c>
      <c r="F24" s="65">
        <v>393020</v>
      </c>
      <c r="G24" s="25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2" t="str">
        <f>'2. Exec Plano de Ação'!A29</f>
        <v>Presidência</v>
      </c>
      <c r="C25" s="22" t="str">
        <f>'2. Exec Plano de Ação'!B29</f>
        <v>A</v>
      </c>
      <c r="D25" s="23"/>
      <c r="E25" s="24" t="str">
        <f>'2. Exec Plano de Ação'!D29</f>
        <v>Fiscalização sistemática</v>
      </c>
      <c r="F25" s="65">
        <v>307283</v>
      </c>
      <c r="G25" s="25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2" t="str">
        <f>'2. Exec Plano de Ação'!A30</f>
        <v>Presidência</v>
      </c>
      <c r="C26" s="22" t="str">
        <f>'2. Exec Plano de Ação'!B30</f>
        <v>A</v>
      </c>
      <c r="D26" s="23"/>
      <c r="E26" s="24" t="str">
        <f>'2. Exec Plano de Ação'!D30</f>
        <v>Ações de suprimento a demanda de deslocamento de pessoal</v>
      </c>
      <c r="F26" s="65">
        <v>55000</v>
      </c>
      <c r="G26" s="25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2" t="str">
        <f>'2. Exec Plano de Ação'!A31</f>
        <v>Presidência</v>
      </c>
      <c r="C27" s="22" t="str">
        <f>'2. Exec Plano de Ação'!B31</f>
        <v>A</v>
      </c>
      <c r="D27" s="23"/>
      <c r="E27" s="24" t="str">
        <f>'2. Exec Plano de Ação'!D31</f>
        <v>Aporte ao centro de serviços compartilhados - CSC</v>
      </c>
      <c r="F27" s="65">
        <v>77489</v>
      </c>
      <c r="G27" s="25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2" t="str">
        <f>'2. Exec Plano de Ação'!A32</f>
        <v>Presidência</v>
      </c>
      <c r="C28" s="22" t="str">
        <f>'2. Exec Plano de Ação'!B32</f>
        <v>A</v>
      </c>
      <c r="D28" s="53"/>
      <c r="E28" s="24" t="str">
        <f>'2. Exec Plano de Ação'!D32</f>
        <v>Contribuição ao fundo nacional de apoio aos CAU/CAUFS</v>
      </c>
      <c r="F28" s="65">
        <v>37990</v>
      </c>
      <c r="G28" s="27">
        <v>0</v>
      </c>
      <c r="H28" s="51">
        <f>G28/F28</f>
        <v>0</v>
      </c>
      <c r="I28" s="4">
        <v>9497.49</v>
      </c>
      <c r="J28" s="56">
        <f>I28*H28</f>
        <v>0</v>
      </c>
      <c r="K28" s="51">
        <f>I28/F28</f>
        <v>0.24999973677283496</v>
      </c>
      <c r="L28" s="51" t="e">
        <f>J28/G28</f>
        <v>#DIV/0!</v>
      </c>
      <c r="M28" s="20"/>
    </row>
    <row r="29" spans="1:13" ht="15.75" x14ac:dyDescent="0.25">
      <c r="A29" s="1">
        <v>16</v>
      </c>
      <c r="B29" s="22" t="str">
        <f>'2. Exec Plano de Ação'!A33</f>
        <v>Presidência</v>
      </c>
      <c r="C29" s="22" t="str">
        <f>'2. Exec Plano de Ação'!B33</f>
        <v>A</v>
      </c>
      <c r="D29" s="53"/>
      <c r="E29" s="24" t="str">
        <f>'2. Exec Plano de Ação'!D33</f>
        <v>Reserva de contigência</v>
      </c>
      <c r="F29" s="65">
        <v>10028</v>
      </c>
      <c r="G29" s="54">
        <v>0</v>
      </c>
      <c r="H29" s="51">
        <f>G29/F29</f>
        <v>0</v>
      </c>
      <c r="I29" s="4"/>
      <c r="J29" s="52">
        <f>I29*H29</f>
        <v>0</v>
      </c>
      <c r="K29" s="51">
        <f>I29/F29</f>
        <v>0</v>
      </c>
      <c r="L29" s="51">
        <v>0</v>
      </c>
      <c r="M29" s="66"/>
    </row>
    <row r="30" spans="1:13" ht="24" x14ac:dyDescent="0.25">
      <c r="A30" s="1">
        <v>17</v>
      </c>
      <c r="B30" s="22" t="str">
        <f>'2. Exec Plano de Ação'!A34</f>
        <v>Comissão de Administração e Finanças - CAF</v>
      </c>
      <c r="C30" s="22" t="str">
        <f>'2. Exec Plano de Ação'!B34</f>
        <v>P</v>
      </c>
      <c r="D30" s="53"/>
      <c r="E30" s="24" t="str">
        <f>'2. Exec Plano de Ação'!D34</f>
        <v>Planejameno e redesenho dos processos do CAU/AL</v>
      </c>
      <c r="F30" s="65">
        <v>50000</v>
      </c>
      <c r="G30" s="54">
        <v>0</v>
      </c>
      <c r="H30" s="51">
        <f>G30/F30</f>
        <v>0</v>
      </c>
      <c r="I30" s="4"/>
      <c r="J30" s="52">
        <f>I30*H30</f>
        <v>0</v>
      </c>
      <c r="K30" s="51">
        <f>I30/F30</f>
        <v>0</v>
      </c>
      <c r="L30" s="51">
        <v>0</v>
      </c>
      <c r="M30" s="20"/>
    </row>
    <row r="31" spans="1:13" ht="15.75" x14ac:dyDescent="0.25">
      <c r="A31" s="1">
        <v>18</v>
      </c>
      <c r="B31" s="22" t="str">
        <f>'2. Exec Plano de Ação'!A35</f>
        <v>Presidência</v>
      </c>
      <c r="C31" s="22" t="str">
        <f>'2. Exec Plano de Ação'!B35</f>
        <v>P</v>
      </c>
      <c r="D31" s="53"/>
      <c r="E31" s="24" t="str">
        <f>'2. Exec Plano de Ação'!D35</f>
        <v xml:space="preserve">Ampliação das instalações da sede </v>
      </c>
      <c r="F31" s="65">
        <v>200000</v>
      </c>
      <c r="G31" s="27">
        <v>0</v>
      </c>
      <c r="H31" s="55">
        <f>G31/F31</f>
        <v>0</v>
      </c>
      <c r="I31" s="4">
        <v>28574.35</v>
      </c>
      <c r="J31" s="52">
        <f>I31*H31</f>
        <v>0</v>
      </c>
      <c r="K31" s="51">
        <f>I31/F31</f>
        <v>0.14287174999999999</v>
      </c>
      <c r="L31" s="51">
        <v>0</v>
      </c>
      <c r="M31" s="2"/>
    </row>
    <row r="32" spans="1:13" s="36" customFormat="1" ht="15.75" x14ac:dyDescent="0.25">
      <c r="B32" s="30" t="s">
        <v>11</v>
      </c>
      <c r="C32" s="30"/>
      <c r="D32" s="31"/>
      <c r="E32" s="31"/>
      <c r="F32" s="32">
        <f>SUM(F14:F31)</f>
        <v>1368243</v>
      </c>
      <c r="G32" s="33">
        <f>SUM(G14:G31)</f>
        <v>0</v>
      </c>
      <c r="H32" s="34" t="s">
        <v>53</v>
      </c>
      <c r="I32" s="32">
        <f>SUM(I14:I31)</f>
        <v>259914.54</v>
      </c>
      <c r="J32" s="46">
        <f>SUM(J14:J31)</f>
        <v>0</v>
      </c>
      <c r="K32" s="35">
        <f>I32/F32</f>
        <v>0.18996226547477313</v>
      </c>
      <c r="L32" s="34" t="s">
        <v>53</v>
      </c>
      <c r="M32" s="31"/>
    </row>
    <row r="33" spans="2:13" x14ac:dyDescent="0.25">
      <c r="B33" s="297" t="s">
        <v>33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5" spans="2:13" ht="30" x14ac:dyDescent="0.25">
      <c r="B35" s="21" t="s">
        <v>59</v>
      </c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2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view="pageBreakPreview" topLeftCell="A5" zoomScale="80" zoomScaleNormal="85" zoomScaleSheetLayoutView="80" workbookViewId="0">
      <selection activeCell="H29" sqref="H29"/>
    </sheetView>
  </sheetViews>
  <sheetFormatPr defaultRowHeight="21" x14ac:dyDescent="0.35"/>
  <cols>
    <col min="1" max="1" width="48" style="79" bestFit="1" customWidth="1"/>
    <col min="2" max="2" width="16.5703125" style="79" bestFit="1" customWidth="1"/>
    <col min="3" max="3" width="18.7109375" style="79" bestFit="1" customWidth="1"/>
    <col min="4" max="4" width="11.5703125" style="79" bestFit="1" customWidth="1"/>
    <col min="5" max="5" width="16.5703125" style="79" bestFit="1" customWidth="1"/>
    <col min="6" max="6" width="20.7109375" style="79" bestFit="1" customWidth="1"/>
    <col min="7" max="7" width="11.5703125" style="107" bestFit="1" customWidth="1"/>
    <col min="8" max="8" width="11.7109375" style="108" bestFit="1" customWidth="1"/>
    <col min="9" max="16384" width="9.140625" style="79"/>
  </cols>
  <sheetData>
    <row r="1" spans="1:8" s="76" customFormat="1" x14ac:dyDescent="0.35">
      <c r="G1" s="77"/>
      <c r="H1" s="78"/>
    </row>
    <row r="2" spans="1:8" s="76" customFormat="1" x14ac:dyDescent="0.35">
      <c r="G2" s="77"/>
      <c r="H2" s="78"/>
    </row>
    <row r="3" spans="1:8" s="76" customFormat="1" x14ac:dyDescent="0.35">
      <c r="G3" s="77"/>
      <c r="H3" s="78"/>
    </row>
    <row r="4" spans="1:8" s="76" customFormat="1" x14ac:dyDescent="0.35">
      <c r="G4" s="77"/>
      <c r="H4" s="78"/>
    </row>
    <row r="5" spans="1:8" s="76" customFormat="1" x14ac:dyDescent="0.35">
      <c r="G5" s="77"/>
      <c r="H5" s="78"/>
    </row>
    <row r="6" spans="1:8" x14ac:dyDescent="0.35">
      <c r="A6" s="299" t="s">
        <v>117</v>
      </c>
      <c r="B6" s="277"/>
      <c r="C6" s="277"/>
      <c r="D6" s="277"/>
      <c r="E6" s="277"/>
      <c r="F6" s="277"/>
      <c r="G6" s="277"/>
      <c r="H6" s="277"/>
    </row>
    <row r="7" spans="1:8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</row>
    <row r="8" spans="1:8" x14ac:dyDescent="0.35">
      <c r="A8" s="303" t="str">
        <f>'Dem Fontes e Usos'!A8:G8</f>
        <v>DATA DE ELABORAÇÃO:  29-03-2017</v>
      </c>
      <c r="B8" s="278"/>
      <c r="C8" s="278"/>
      <c r="D8" s="278"/>
      <c r="E8" s="278"/>
      <c r="F8" s="278"/>
      <c r="G8" s="278"/>
      <c r="H8" s="278"/>
    </row>
    <row r="9" spans="1:8" x14ac:dyDescent="0.35">
      <c r="A9" s="303" t="str">
        <f>'Dem Fontes e Usos'!A9:G9</f>
        <v xml:space="preserve">Período: Janeiro e Fevereiro/2017 </v>
      </c>
      <c r="B9" s="278"/>
      <c r="C9" s="278"/>
      <c r="D9" s="278"/>
      <c r="E9" s="278"/>
      <c r="F9" s="278"/>
      <c r="G9" s="278"/>
      <c r="H9" s="278"/>
    </row>
    <row r="10" spans="1:8" ht="21" customHeight="1" x14ac:dyDescent="0.35">
      <c r="A10" s="279" t="s">
        <v>177</v>
      </c>
      <c r="B10" s="279"/>
      <c r="C10" s="279"/>
      <c r="D10" s="279"/>
      <c r="E10" s="279"/>
      <c r="F10" s="279"/>
      <c r="G10" s="279"/>
      <c r="H10" s="161"/>
    </row>
    <row r="11" spans="1:8" ht="63" x14ac:dyDescent="0.35">
      <c r="A11" s="80" t="s">
        <v>12</v>
      </c>
      <c r="B11" s="81" t="s">
        <v>99</v>
      </c>
      <c r="C11" s="81" t="s">
        <v>180</v>
      </c>
      <c r="D11" s="82" t="s">
        <v>98</v>
      </c>
      <c r="E11" s="83" t="s">
        <v>173</v>
      </c>
      <c r="F11" s="81" t="s">
        <v>180</v>
      </c>
      <c r="G11" s="84" t="s">
        <v>98</v>
      </c>
      <c r="H11" s="84" t="s">
        <v>178</v>
      </c>
    </row>
    <row r="12" spans="1:8" x14ac:dyDescent="0.35">
      <c r="A12" s="300" t="s">
        <v>174</v>
      </c>
      <c r="B12" s="301"/>
      <c r="C12" s="301"/>
      <c r="D12" s="301"/>
      <c r="E12" s="301"/>
      <c r="F12" s="301"/>
      <c r="G12" s="301"/>
      <c r="H12" s="302"/>
    </row>
    <row r="13" spans="1:8" x14ac:dyDescent="0.35">
      <c r="A13" s="85" t="s">
        <v>20</v>
      </c>
      <c r="B13" s="86">
        <f>B14+B22+B21</f>
        <v>1168243</v>
      </c>
      <c r="C13" s="86">
        <f>C14+C22+C21</f>
        <v>221518.21</v>
      </c>
      <c r="D13" s="87">
        <f>C13/B13</f>
        <v>0.18961655237822952</v>
      </c>
      <c r="E13" s="86">
        <f>E14+E22+E21</f>
        <v>1125255</v>
      </c>
      <c r="F13" s="86">
        <f>'Dem Fontes e Usos'!C13</f>
        <v>288467.27999999997</v>
      </c>
      <c r="G13" s="88">
        <f>F13/E13</f>
        <v>0.2563572523561326</v>
      </c>
      <c r="H13" s="148">
        <f>F13/C13</f>
        <v>1.3022282908479623</v>
      </c>
    </row>
    <row r="14" spans="1:8" x14ac:dyDescent="0.35">
      <c r="A14" s="90" t="s">
        <v>13</v>
      </c>
      <c r="B14" s="91">
        <f>B15+B20</f>
        <v>1138243</v>
      </c>
      <c r="C14" s="91">
        <f>C15+C20</f>
        <v>219183.44</v>
      </c>
      <c r="D14" s="92">
        <f t="shared" ref="D14:D27" si="0">C14/B14</f>
        <v>0.19256295887609237</v>
      </c>
      <c r="E14" s="91">
        <f>E15+E20</f>
        <v>1042940</v>
      </c>
      <c r="F14" s="91">
        <f>'Dem Fontes e Usos'!C14</f>
        <v>270794.38</v>
      </c>
      <c r="G14" s="93">
        <f t="shared" ref="G14:G27" si="1">F14/E14</f>
        <v>0.25964521448980765</v>
      </c>
      <c r="H14" s="94">
        <f t="shared" ref="H14:H27" si="2">F14/C14</f>
        <v>1.2354691577064398</v>
      </c>
    </row>
    <row r="15" spans="1:8" x14ac:dyDescent="0.35">
      <c r="A15" s="95" t="s">
        <v>14</v>
      </c>
      <c r="B15" s="96">
        <f>SUM(B16:B19)</f>
        <v>500870</v>
      </c>
      <c r="C15" s="96">
        <f>SUM(C16:C19)</f>
        <v>152439.91</v>
      </c>
      <c r="D15" s="97">
        <f t="shared" si="0"/>
        <v>0.3043502505640186</v>
      </c>
      <c r="E15" s="96">
        <f>SUM(E16:E19)</f>
        <v>496628</v>
      </c>
      <c r="F15" s="96">
        <f>'Dem Fontes e Usos'!C15</f>
        <v>198983.87000000002</v>
      </c>
      <c r="G15" s="98">
        <f t="shared" si="1"/>
        <v>0.40066985751910894</v>
      </c>
      <c r="H15" s="99">
        <f t="shared" si="2"/>
        <v>1.3053266037745628</v>
      </c>
    </row>
    <row r="16" spans="1:8" x14ac:dyDescent="0.35">
      <c r="A16" s="100" t="s">
        <v>15</v>
      </c>
      <c r="B16" s="101">
        <v>424048</v>
      </c>
      <c r="C16" s="233">
        <v>140457.99</v>
      </c>
      <c r="D16" s="92">
        <f t="shared" si="0"/>
        <v>0.33123134645134511</v>
      </c>
      <c r="E16" s="101">
        <f>'Dem Fontes e Usos'!B16</f>
        <v>430670</v>
      </c>
      <c r="F16" s="101">
        <f>'Dem Fontes e Usos'!C16</f>
        <v>177209.14</v>
      </c>
      <c r="G16" s="93">
        <f t="shared" si="1"/>
        <v>0.41147314649267425</v>
      </c>
      <c r="H16" s="94">
        <f t="shared" si="2"/>
        <v>1.2616522563080963</v>
      </c>
    </row>
    <row r="17" spans="1:8" x14ac:dyDescent="0.35">
      <c r="A17" s="100" t="s">
        <v>16</v>
      </c>
      <c r="B17" s="101">
        <v>30613</v>
      </c>
      <c r="C17" s="233">
        <v>9139.5</v>
      </c>
      <c r="D17" s="92">
        <f t="shared" si="0"/>
        <v>0.29854963577565086</v>
      </c>
      <c r="E17" s="101">
        <f>'Dem Fontes e Usos'!B17</f>
        <v>35581</v>
      </c>
      <c r="F17" s="101">
        <f>'Dem Fontes e Usos'!C17</f>
        <v>11580.48</v>
      </c>
      <c r="G17" s="93">
        <f t="shared" si="1"/>
        <v>0.32546808690031193</v>
      </c>
      <c r="H17" s="94">
        <f t="shared" si="2"/>
        <v>1.2670802560315115</v>
      </c>
    </row>
    <row r="18" spans="1:8" x14ac:dyDescent="0.35">
      <c r="A18" s="100" t="s">
        <v>17</v>
      </c>
      <c r="B18" s="101">
        <f>26209+20000</f>
        <v>46209</v>
      </c>
      <c r="C18" s="233">
        <f>133.74+1066.31+1642.37</f>
        <v>2842.42</v>
      </c>
      <c r="D18" s="92">
        <f t="shared" si="0"/>
        <v>6.1512259516544397E-2</v>
      </c>
      <c r="E18" s="101">
        <f>'Dem Fontes e Usos'!B18</f>
        <v>30377</v>
      </c>
      <c r="F18" s="101">
        <f>'Dem Fontes e Usos'!C18</f>
        <v>10194.25</v>
      </c>
      <c r="G18" s="93">
        <f t="shared" si="1"/>
        <v>0.33559107219277745</v>
      </c>
      <c r="H18" s="94">
        <f t="shared" si="2"/>
        <v>3.5864685725543728</v>
      </c>
    </row>
    <row r="19" spans="1:8" x14ac:dyDescent="0.35">
      <c r="A19" s="100" t="s">
        <v>65</v>
      </c>
      <c r="B19" s="101">
        <v>0</v>
      </c>
      <c r="C19" s="101">
        <v>0</v>
      </c>
      <c r="D19" s="92" t="s">
        <v>64</v>
      </c>
      <c r="E19" s="101">
        <v>0</v>
      </c>
      <c r="F19" s="91">
        <f>'Dem Fontes e Usos'!C19</f>
        <v>0</v>
      </c>
      <c r="G19" s="93" t="s">
        <v>64</v>
      </c>
      <c r="H19" s="94" t="s">
        <v>64</v>
      </c>
    </row>
    <row r="20" spans="1:8" x14ac:dyDescent="0.35">
      <c r="A20" s="95" t="s">
        <v>18</v>
      </c>
      <c r="B20" s="96">
        <v>637373</v>
      </c>
      <c r="C20" s="234">
        <v>66743.53</v>
      </c>
      <c r="D20" s="97">
        <f t="shared" si="0"/>
        <v>0.10471659452157528</v>
      </c>
      <c r="E20" s="96">
        <f>'Dem Fontes e Usos'!B20</f>
        <v>546312</v>
      </c>
      <c r="F20" s="101">
        <f>'Dem Fontes e Usos'!C20</f>
        <v>71810.509999999995</v>
      </c>
      <c r="G20" s="98">
        <f t="shared" si="1"/>
        <v>0.13144596860402114</v>
      </c>
      <c r="H20" s="99">
        <f t="shared" si="2"/>
        <v>1.0759171712973528</v>
      </c>
    </row>
    <row r="21" spans="1:8" x14ac:dyDescent="0.35">
      <c r="A21" s="90" t="s">
        <v>37</v>
      </c>
      <c r="B21" s="91">
        <v>0</v>
      </c>
      <c r="C21" s="234">
        <v>0</v>
      </c>
      <c r="D21" s="92" t="s">
        <v>64</v>
      </c>
      <c r="E21" s="91">
        <f>'Dem Fontes e Usos'!B21</f>
        <v>82315</v>
      </c>
      <c r="F21" s="101">
        <f>'Dem Fontes e Usos'!C21</f>
        <v>13719.16</v>
      </c>
      <c r="G21" s="93">
        <f t="shared" si="1"/>
        <v>0.1666665856769726</v>
      </c>
      <c r="H21" s="94" t="s">
        <v>64</v>
      </c>
    </row>
    <row r="22" spans="1:8" x14ac:dyDescent="0.35">
      <c r="A22" s="95" t="s">
        <v>38</v>
      </c>
      <c r="B22" s="96">
        <f>SUM(B23:B24)</f>
        <v>30000</v>
      </c>
      <c r="C22" s="96">
        <f>SUM(C23:C24)</f>
        <v>2334.77</v>
      </c>
      <c r="D22" s="97">
        <f t="shared" si="0"/>
        <v>7.7825666666666668E-2</v>
      </c>
      <c r="E22" s="96">
        <f>SUM(E23:E24)</f>
        <v>0</v>
      </c>
      <c r="F22" s="96">
        <f>'Dem Fontes e Usos'!C22</f>
        <v>3953.74</v>
      </c>
      <c r="G22" s="98" t="s">
        <v>64</v>
      </c>
      <c r="H22" s="99">
        <f t="shared" si="2"/>
        <v>1.6934173387528535</v>
      </c>
    </row>
    <row r="23" spans="1:8" x14ac:dyDescent="0.35">
      <c r="A23" s="100" t="s">
        <v>39</v>
      </c>
      <c r="B23" s="101">
        <v>30000</v>
      </c>
      <c r="C23" s="233">
        <v>2334.77</v>
      </c>
      <c r="D23" s="92">
        <f t="shared" si="0"/>
        <v>7.7825666666666668E-2</v>
      </c>
      <c r="E23" s="101">
        <f>'Dem Fontes e Usos'!B23</f>
        <v>0</v>
      </c>
      <c r="F23" s="101">
        <f>'Dem Fontes e Usos'!C23</f>
        <v>3953.74</v>
      </c>
      <c r="G23" s="93" t="s">
        <v>64</v>
      </c>
      <c r="H23" s="94">
        <f t="shared" si="2"/>
        <v>1.6934173387528535</v>
      </c>
    </row>
    <row r="24" spans="1:8" x14ac:dyDescent="0.35">
      <c r="A24" s="100" t="s">
        <v>40</v>
      </c>
      <c r="B24" s="101">
        <v>0</v>
      </c>
      <c r="C24" s="233">
        <v>0</v>
      </c>
      <c r="D24" s="92" t="s">
        <v>64</v>
      </c>
      <c r="E24" s="101">
        <f>'Dem Fontes e Usos'!B24</f>
        <v>0</v>
      </c>
      <c r="F24" s="101">
        <f>'Dem Fontes e Usos'!C24</f>
        <v>0</v>
      </c>
      <c r="G24" s="93" t="s">
        <v>64</v>
      </c>
      <c r="H24" s="94" t="s">
        <v>64</v>
      </c>
    </row>
    <row r="25" spans="1:8" x14ac:dyDescent="0.35">
      <c r="A25" s="85" t="s">
        <v>21</v>
      </c>
      <c r="B25" s="86">
        <f>B26</f>
        <v>200000</v>
      </c>
      <c r="C25" s="86">
        <f>C26</f>
        <v>0</v>
      </c>
      <c r="D25" s="87">
        <f t="shared" si="0"/>
        <v>0</v>
      </c>
      <c r="E25" s="86">
        <f>E26</f>
        <v>50000</v>
      </c>
      <c r="F25" s="86">
        <f>F26</f>
        <v>0</v>
      </c>
      <c r="G25" s="88">
        <f t="shared" si="1"/>
        <v>0</v>
      </c>
      <c r="H25" s="89" t="s">
        <v>64</v>
      </c>
    </row>
    <row r="26" spans="1:8" x14ac:dyDescent="0.35">
      <c r="A26" s="100" t="s">
        <v>19</v>
      </c>
      <c r="B26" s="101">
        <v>200000</v>
      </c>
      <c r="C26" s="101">
        <v>0</v>
      </c>
      <c r="D26" s="102">
        <f t="shared" si="0"/>
        <v>0</v>
      </c>
      <c r="E26" s="103">
        <f>'Dem Fontes e Usos'!B26</f>
        <v>50000</v>
      </c>
      <c r="F26" s="103"/>
      <c r="G26" s="93">
        <f t="shared" si="1"/>
        <v>0</v>
      </c>
      <c r="H26" s="94" t="s">
        <v>64</v>
      </c>
    </row>
    <row r="27" spans="1:8" x14ac:dyDescent="0.35">
      <c r="A27" s="85" t="s">
        <v>22</v>
      </c>
      <c r="B27" s="86">
        <f>B13+B25</f>
        <v>1368243</v>
      </c>
      <c r="C27" s="86">
        <f>C13+C25</f>
        <v>221518.21</v>
      </c>
      <c r="D27" s="104">
        <f t="shared" si="0"/>
        <v>0.16189975757230257</v>
      </c>
      <c r="E27" s="105">
        <f>E13+E25</f>
        <v>1175255</v>
      </c>
      <c r="F27" s="86">
        <f>F13+F25</f>
        <v>288467.27999999997</v>
      </c>
      <c r="G27" s="88">
        <f t="shared" si="1"/>
        <v>0.24545080003914041</v>
      </c>
      <c r="H27" s="89">
        <f t="shared" si="2"/>
        <v>1.3022282908479623</v>
      </c>
    </row>
    <row r="28" spans="1:8" x14ac:dyDescent="0.35">
      <c r="C28" s="106"/>
      <c r="D28" s="107"/>
    </row>
    <row r="29" spans="1:8" x14ac:dyDescent="0.35">
      <c r="C29" s="109"/>
      <c r="D29" s="107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view="pageBreakPreview" topLeftCell="A9" zoomScaleNormal="80" zoomScaleSheetLayoutView="100" workbookViewId="0">
      <selection activeCell="C15" sqref="C15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6" customFormat="1" ht="21" x14ac:dyDescent="0.35">
      <c r="G1" s="77"/>
      <c r="H1" s="78"/>
    </row>
    <row r="2" spans="1:8" s="76" customFormat="1" ht="21" x14ac:dyDescent="0.35">
      <c r="G2" s="77"/>
      <c r="H2" s="78"/>
    </row>
    <row r="3" spans="1:8" s="76" customFormat="1" ht="21" x14ac:dyDescent="0.35">
      <c r="G3" s="77"/>
      <c r="H3" s="78"/>
    </row>
    <row r="4" spans="1:8" s="76" customFormat="1" ht="21" x14ac:dyDescent="0.35">
      <c r="G4" s="77"/>
      <c r="H4" s="78"/>
    </row>
    <row r="5" spans="1:8" s="76" customFormat="1" ht="21" x14ac:dyDescent="0.35">
      <c r="G5" s="77"/>
      <c r="H5" s="78"/>
    </row>
    <row r="6" spans="1:8" s="79" customFormat="1" ht="21" x14ac:dyDescent="0.35">
      <c r="A6" s="299" t="s">
        <v>117</v>
      </c>
      <c r="B6" s="277"/>
      <c r="C6" s="277"/>
      <c r="D6" s="277"/>
      <c r="E6" s="277"/>
      <c r="F6" s="277"/>
      <c r="G6" s="277"/>
      <c r="H6" s="277"/>
    </row>
    <row r="7" spans="1:8" s="79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</row>
    <row r="8" spans="1:8" s="79" customFormat="1" ht="21" x14ac:dyDescent="0.35">
      <c r="A8" s="303" t="str">
        <f>'Dem Fontes e Usos'!A8:G8</f>
        <v>DATA DE ELABORAÇÃO:  29-03-2017</v>
      </c>
      <c r="B8" s="278"/>
      <c r="C8" s="278"/>
      <c r="D8" s="278"/>
      <c r="E8" s="278"/>
      <c r="F8" s="278"/>
      <c r="G8" s="278"/>
      <c r="H8" s="278"/>
    </row>
    <row r="9" spans="1:8" s="79" customFormat="1" ht="21" x14ac:dyDescent="0.35">
      <c r="A9" s="303" t="str">
        <f>'Dem Fontes e Usos'!A9:G9</f>
        <v xml:space="preserve">Período: Janeiro e Fevereiro/2017 </v>
      </c>
      <c r="B9" s="278"/>
      <c r="C9" s="278"/>
      <c r="D9" s="278"/>
      <c r="E9" s="278"/>
      <c r="F9" s="278"/>
      <c r="G9" s="278"/>
      <c r="H9" s="278"/>
    </row>
    <row r="10" spans="1:8" s="79" customFormat="1" ht="21.75" customHeight="1" thickBot="1" x14ac:dyDescent="0.4">
      <c r="A10" s="279" t="s">
        <v>120</v>
      </c>
      <c r="B10" s="279"/>
      <c r="C10" s="279"/>
      <c r="D10" s="279"/>
      <c r="E10" s="279"/>
      <c r="F10" s="279"/>
      <c r="G10" s="279"/>
      <c r="H10" s="161"/>
    </row>
    <row r="11" spans="1:8" s="1" customFormat="1" ht="62.25" customHeight="1" x14ac:dyDescent="0.25">
      <c r="A11" s="110" t="s">
        <v>56</v>
      </c>
      <c r="B11" s="111" t="s">
        <v>122</v>
      </c>
      <c r="C11" s="111" t="s">
        <v>3</v>
      </c>
      <c r="D11" s="111" t="s">
        <v>131</v>
      </c>
      <c r="E11" s="111" t="s">
        <v>129</v>
      </c>
      <c r="F11" s="111" t="s">
        <v>130</v>
      </c>
      <c r="G11" s="111" t="s">
        <v>84</v>
      </c>
      <c r="H11" s="112" t="s">
        <v>85</v>
      </c>
    </row>
    <row r="12" spans="1:8" s="1" customFormat="1" x14ac:dyDescent="0.25">
      <c r="A12" s="253" t="s">
        <v>67</v>
      </c>
      <c r="B12" s="254" t="s">
        <v>43</v>
      </c>
      <c r="C12" s="214" t="s">
        <v>71</v>
      </c>
      <c r="D12" s="113">
        <v>3000</v>
      </c>
      <c r="E12" s="114">
        <f t="shared" ref="E12:E26" si="0">D12/$D$27</f>
        <v>2.6660623591985818E-3</v>
      </c>
      <c r="F12" s="230">
        <v>750</v>
      </c>
      <c r="G12" s="114">
        <f t="shared" ref="G12:G26" si="1">F12/D12</f>
        <v>0.25</v>
      </c>
      <c r="H12" s="115">
        <f t="shared" ref="H12:H27" si="2">F12/$D$27</f>
        <v>6.6651558979964544E-4</v>
      </c>
    </row>
    <row r="13" spans="1:8" s="1" customFormat="1" x14ac:dyDescent="0.25">
      <c r="A13" s="253" t="s">
        <v>67</v>
      </c>
      <c r="B13" s="254" t="s">
        <v>43</v>
      </c>
      <c r="C13" s="214" t="s">
        <v>88</v>
      </c>
      <c r="D13" s="113">
        <v>10000</v>
      </c>
      <c r="E13" s="114">
        <f t="shared" si="0"/>
        <v>8.8868745306619392E-3</v>
      </c>
      <c r="F13" s="230">
        <v>0</v>
      </c>
      <c r="G13" s="114">
        <f t="shared" si="1"/>
        <v>0</v>
      </c>
      <c r="H13" s="115">
        <f t="shared" si="2"/>
        <v>0</v>
      </c>
    </row>
    <row r="14" spans="1:8" s="1" customFormat="1" x14ac:dyDescent="0.25">
      <c r="A14" s="253" t="s">
        <v>68</v>
      </c>
      <c r="B14" s="254" t="s">
        <v>43</v>
      </c>
      <c r="C14" s="214" t="s">
        <v>183</v>
      </c>
      <c r="D14" s="113">
        <v>30000</v>
      </c>
      <c r="E14" s="114">
        <f t="shared" si="0"/>
        <v>2.6660623591985816E-2</v>
      </c>
      <c r="F14" s="230">
        <v>0</v>
      </c>
      <c r="G14" s="114">
        <f t="shared" si="1"/>
        <v>0</v>
      </c>
      <c r="H14" s="115">
        <f t="shared" si="2"/>
        <v>0</v>
      </c>
    </row>
    <row r="15" spans="1:8" s="1" customFormat="1" x14ac:dyDescent="0.25">
      <c r="A15" s="253" t="s">
        <v>68</v>
      </c>
      <c r="B15" s="254" t="s">
        <v>43</v>
      </c>
      <c r="C15" s="214" t="s">
        <v>90</v>
      </c>
      <c r="D15" s="113">
        <v>3000</v>
      </c>
      <c r="E15" s="114">
        <f t="shared" si="0"/>
        <v>2.6660623591985818E-3</v>
      </c>
      <c r="F15" s="230">
        <v>0</v>
      </c>
      <c r="G15" s="114">
        <f t="shared" si="1"/>
        <v>0</v>
      </c>
      <c r="H15" s="115">
        <f t="shared" si="2"/>
        <v>0</v>
      </c>
    </row>
    <row r="16" spans="1:8" s="1" customFormat="1" x14ac:dyDescent="0.25">
      <c r="A16" s="253" t="s">
        <v>68</v>
      </c>
      <c r="B16" s="254" t="s">
        <v>43</v>
      </c>
      <c r="C16" s="214" t="s">
        <v>91</v>
      </c>
      <c r="D16" s="113">
        <v>3000</v>
      </c>
      <c r="E16" s="114">
        <f t="shared" si="0"/>
        <v>2.6660623591985818E-3</v>
      </c>
      <c r="F16" s="230">
        <v>0</v>
      </c>
      <c r="G16" s="114">
        <f t="shared" si="1"/>
        <v>0</v>
      </c>
      <c r="H16" s="115">
        <f t="shared" si="2"/>
        <v>0</v>
      </c>
    </row>
    <row r="17" spans="1:8" s="1" customFormat="1" x14ac:dyDescent="0.25">
      <c r="A17" s="253" t="s">
        <v>69</v>
      </c>
      <c r="B17" s="254" t="s">
        <v>44</v>
      </c>
      <c r="C17" s="214" t="s">
        <v>73</v>
      </c>
      <c r="D17" s="113">
        <v>11000</v>
      </c>
      <c r="E17" s="114">
        <f t="shared" si="0"/>
        <v>9.7755619837281323E-3</v>
      </c>
      <c r="F17" s="230">
        <v>0</v>
      </c>
      <c r="G17" s="114">
        <f t="shared" si="1"/>
        <v>0</v>
      </c>
      <c r="H17" s="115">
        <f t="shared" si="2"/>
        <v>0</v>
      </c>
    </row>
    <row r="18" spans="1:8" s="1" customFormat="1" x14ac:dyDescent="0.25">
      <c r="A18" s="253" t="s">
        <v>69</v>
      </c>
      <c r="B18" s="254" t="s">
        <v>44</v>
      </c>
      <c r="C18" s="214" t="s">
        <v>74</v>
      </c>
      <c r="D18" s="113">
        <v>31000</v>
      </c>
      <c r="E18" s="114">
        <f t="shared" si="0"/>
        <v>2.7549311045052011E-2</v>
      </c>
      <c r="F18" s="230">
        <v>2500</v>
      </c>
      <c r="G18" s="114">
        <f t="shared" si="1"/>
        <v>8.0645161290322578E-2</v>
      </c>
      <c r="H18" s="115">
        <f t="shared" si="2"/>
        <v>2.2217186326654848E-3</v>
      </c>
    </row>
    <row r="19" spans="1:8" s="1" customFormat="1" x14ac:dyDescent="0.25">
      <c r="A19" s="253" t="s">
        <v>69</v>
      </c>
      <c r="B19" s="254" t="s">
        <v>44</v>
      </c>
      <c r="C19" s="214" t="s">
        <v>92</v>
      </c>
      <c r="D19" s="113">
        <v>147000</v>
      </c>
      <c r="E19" s="114">
        <f t="shared" si="0"/>
        <v>0.1306370556007305</v>
      </c>
      <c r="F19" s="231">
        <v>19460.03</v>
      </c>
      <c r="G19" s="114">
        <f t="shared" si="1"/>
        <v>0.13238115646258503</v>
      </c>
      <c r="H19" s="115">
        <f t="shared" si="2"/>
        <v>1.7293884497291724E-2</v>
      </c>
    </row>
    <row r="20" spans="1:8" s="1" customFormat="1" x14ac:dyDescent="0.25">
      <c r="A20" s="253" t="s">
        <v>69</v>
      </c>
      <c r="B20" s="254" t="s">
        <v>44</v>
      </c>
      <c r="C20" s="214" t="s">
        <v>93</v>
      </c>
      <c r="D20" s="113">
        <v>427900</v>
      </c>
      <c r="E20" s="114">
        <f t="shared" si="0"/>
        <v>0.38026936116702437</v>
      </c>
      <c r="F20" s="231">
        <v>52341.21</v>
      </c>
      <c r="G20" s="114">
        <f t="shared" si="1"/>
        <v>0.1223211264314092</v>
      </c>
      <c r="H20" s="115">
        <f t="shared" si="2"/>
        <v>4.65149766053028E-2</v>
      </c>
    </row>
    <row r="21" spans="1:8" s="1" customFormat="1" x14ac:dyDescent="0.25">
      <c r="A21" s="253" t="s">
        <v>69</v>
      </c>
      <c r="B21" s="254" t="s">
        <v>44</v>
      </c>
      <c r="C21" s="214" t="s">
        <v>76</v>
      </c>
      <c r="D21" s="113">
        <v>245060</v>
      </c>
      <c r="E21" s="114">
        <f t="shared" si="0"/>
        <v>0.21778174724840146</v>
      </c>
      <c r="F21" s="230">
        <v>31939.8</v>
      </c>
      <c r="G21" s="114">
        <f t="shared" si="1"/>
        <v>0.13033461193177182</v>
      </c>
      <c r="H21" s="115">
        <f t="shared" si="2"/>
        <v>2.8384499513443618E-2</v>
      </c>
    </row>
    <row r="22" spans="1:8" s="1" customFormat="1" x14ac:dyDescent="0.25">
      <c r="A22" s="253" t="s">
        <v>69</v>
      </c>
      <c r="B22" s="254" t="s">
        <v>44</v>
      </c>
      <c r="C22" s="214" t="s">
        <v>72</v>
      </c>
      <c r="D22" s="113">
        <v>50000</v>
      </c>
      <c r="E22" s="114">
        <f t="shared" si="0"/>
        <v>4.4434372653309691E-2</v>
      </c>
      <c r="F22" s="230">
        <v>6377.14</v>
      </c>
      <c r="G22" s="114">
        <f t="shared" si="1"/>
        <v>0.12754280000000001</v>
      </c>
      <c r="H22" s="115">
        <f t="shared" si="2"/>
        <v>5.6672843044465477E-3</v>
      </c>
    </row>
    <row r="23" spans="1:8" s="1" customFormat="1" x14ac:dyDescent="0.25">
      <c r="A23" s="253" t="s">
        <v>69</v>
      </c>
      <c r="B23" s="254" t="s">
        <v>44</v>
      </c>
      <c r="C23" s="214" t="s">
        <v>78</v>
      </c>
      <c r="D23" s="113">
        <v>85725</v>
      </c>
      <c r="E23" s="114">
        <f t="shared" si="0"/>
        <v>7.6182731914099466E-2</v>
      </c>
      <c r="F23" s="231">
        <v>7143.74</v>
      </c>
      <c r="G23" s="114">
        <f t="shared" si="1"/>
        <v>8.3333216681248171E-2</v>
      </c>
      <c r="H23" s="115">
        <f t="shared" si="2"/>
        <v>6.3485521059670914E-3</v>
      </c>
    </row>
    <row r="24" spans="1:8" s="1" customFormat="1" x14ac:dyDescent="0.25">
      <c r="A24" s="253" t="s">
        <v>69</v>
      </c>
      <c r="B24" s="254" t="s">
        <v>44</v>
      </c>
      <c r="C24" s="214" t="s">
        <v>79</v>
      </c>
      <c r="D24" s="113">
        <v>35884</v>
      </c>
      <c r="E24" s="114">
        <f t="shared" si="0"/>
        <v>3.1889660565827302E-2</v>
      </c>
      <c r="F24" s="231">
        <v>2990.33</v>
      </c>
      <c r="G24" s="116">
        <f t="shared" si="1"/>
        <v>8.333324044142236E-2</v>
      </c>
      <c r="H24" s="115">
        <f t="shared" si="2"/>
        <v>2.6574687515274315E-3</v>
      </c>
    </row>
    <row r="25" spans="1:8" s="1" customFormat="1" x14ac:dyDescent="0.25">
      <c r="A25" s="253" t="s">
        <v>69</v>
      </c>
      <c r="B25" s="254" t="s">
        <v>44</v>
      </c>
      <c r="C25" s="214" t="s">
        <v>162</v>
      </c>
      <c r="D25" s="113">
        <v>10650</v>
      </c>
      <c r="E25" s="114">
        <f t="shared" si="0"/>
        <v>9.4645213751549644E-3</v>
      </c>
      <c r="F25" s="230">
        <v>0</v>
      </c>
      <c r="G25" s="116">
        <f t="shared" si="1"/>
        <v>0</v>
      </c>
      <c r="H25" s="115">
        <f t="shared" si="2"/>
        <v>0</v>
      </c>
    </row>
    <row r="26" spans="1:8" s="1" customFormat="1" ht="21.75" customHeight="1" x14ac:dyDescent="0.25">
      <c r="A26" s="253" t="s">
        <v>69</v>
      </c>
      <c r="B26" s="254" t="s">
        <v>43</v>
      </c>
      <c r="C26" s="214" t="s">
        <v>176</v>
      </c>
      <c r="D26" s="113">
        <v>32036</v>
      </c>
      <c r="E26" s="114">
        <f t="shared" si="0"/>
        <v>2.8469991246428586E-2</v>
      </c>
      <c r="F26" s="230">
        <v>0</v>
      </c>
      <c r="G26" s="116">
        <f t="shared" si="1"/>
        <v>0</v>
      </c>
      <c r="H26" s="115">
        <f t="shared" si="2"/>
        <v>0</v>
      </c>
    </row>
    <row r="27" spans="1:8" s="1" customFormat="1" ht="15.75" x14ac:dyDescent="0.25">
      <c r="A27" s="252" t="s">
        <v>81</v>
      </c>
      <c r="B27" s="251"/>
      <c r="C27" s="118"/>
      <c r="D27" s="119">
        <f>SUM(D12:D26)</f>
        <v>1125255</v>
      </c>
      <c r="E27" s="120">
        <f>D27/$D$27</f>
        <v>1</v>
      </c>
      <c r="F27" s="221">
        <f>SUM(F12:F26)</f>
        <v>123502.25</v>
      </c>
      <c r="G27" s="121">
        <f>F27/D27</f>
        <v>0.10975490000044434</v>
      </c>
      <c r="H27" s="224">
        <f t="shared" si="2"/>
        <v>0.10975490000044434</v>
      </c>
    </row>
    <row r="28" spans="1:8" s="1" customFormat="1" x14ac:dyDescent="0.25">
      <c r="A28" s="253" t="s">
        <v>69</v>
      </c>
      <c r="B28" s="254" t="s">
        <v>43</v>
      </c>
      <c r="C28" s="214" t="s">
        <v>77</v>
      </c>
      <c r="D28" s="122">
        <v>50000</v>
      </c>
      <c r="E28" s="114">
        <f>D28/$D$29</f>
        <v>1</v>
      </c>
      <c r="F28" s="230">
        <v>0</v>
      </c>
      <c r="G28" s="116">
        <f>F28/D28</f>
        <v>0</v>
      </c>
      <c r="H28" s="225">
        <f>F28/D29</f>
        <v>0</v>
      </c>
    </row>
    <row r="29" spans="1:8" s="36" customFormat="1" ht="15.75" x14ac:dyDescent="0.25">
      <c r="A29" s="117" t="s">
        <v>82</v>
      </c>
      <c r="B29" s="213"/>
      <c r="C29" s="118"/>
      <c r="D29" s="119">
        <f>SUM(D28:D28)</f>
        <v>50000</v>
      </c>
      <c r="E29" s="120">
        <f>D29/$D$29</f>
        <v>1</v>
      </c>
      <c r="F29" s="221">
        <f>SUM(F28:F28)</f>
        <v>0</v>
      </c>
      <c r="G29" s="121">
        <f>F29/D29</f>
        <v>0</v>
      </c>
      <c r="H29" s="224">
        <f>F29/D29</f>
        <v>0</v>
      </c>
    </row>
    <row r="30" spans="1:8" x14ac:dyDescent="0.25">
      <c r="A30" s="123"/>
      <c r="B30" s="124"/>
      <c r="C30" s="124"/>
      <c r="D30" s="124"/>
      <c r="E30" s="124"/>
      <c r="F30" s="222"/>
      <c r="G30" s="124"/>
      <c r="H30" s="125"/>
    </row>
    <row r="31" spans="1:8" ht="16.5" thickBot="1" x14ac:dyDescent="0.3">
      <c r="A31" s="126" t="s">
        <v>83</v>
      </c>
      <c r="B31" s="127"/>
      <c r="C31" s="128"/>
      <c r="D31" s="129">
        <f>D27+D29</f>
        <v>1175255</v>
      </c>
      <c r="E31" s="130">
        <f>D31/$D$31</f>
        <v>1</v>
      </c>
      <c r="F31" s="223">
        <f>F27+F29</f>
        <v>123502.25</v>
      </c>
      <c r="G31" s="131">
        <f>F31/D31</f>
        <v>0.10508549208469652</v>
      </c>
      <c r="H31" s="132">
        <f>F31/D31</f>
        <v>0.10508549208469652</v>
      </c>
    </row>
    <row r="32" spans="1:8" x14ac:dyDescent="0.25">
      <c r="A32" t="s">
        <v>121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view="pageBreakPreview" topLeftCell="B1" zoomScaleNormal="100" zoomScaleSheetLayoutView="100" workbookViewId="0">
      <selection activeCell="N25" sqref="N25"/>
    </sheetView>
  </sheetViews>
  <sheetFormatPr defaultRowHeight="15" x14ac:dyDescent="0.25"/>
  <cols>
    <col min="1" max="1" width="10.85546875" style="73" bestFit="1" customWidth="1"/>
    <col min="2" max="2" width="13.7109375" style="73" bestFit="1" customWidth="1"/>
    <col min="3" max="3" width="15.140625" style="73" bestFit="1" customWidth="1"/>
    <col min="4" max="9" width="13.7109375" style="73" bestFit="1" customWidth="1"/>
    <col min="10" max="10" width="15.140625" style="73" bestFit="1" customWidth="1"/>
    <col min="11" max="12" width="13.7109375" style="73" bestFit="1" customWidth="1"/>
    <col min="13" max="13" width="14" style="73" bestFit="1" customWidth="1"/>
    <col min="14" max="14" width="16.5703125" style="73" bestFit="1" customWidth="1"/>
    <col min="15" max="16384" width="9.140625" style="73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9" customFormat="1" ht="21" customHeight="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9" customFormat="1" ht="21" customHeight="1" x14ac:dyDescent="0.35">
      <c r="A8" s="303" t="str">
        <f>'Dem Fontes e Usos'!A8:G8</f>
        <v>DATA DE ELABORAÇÃO:  29-03-2017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9" customFormat="1" ht="21" x14ac:dyDescent="0.35">
      <c r="A9" s="303" t="str">
        <f>'Dem Fontes e Usos'!A9:G9</f>
        <v xml:space="preserve">Período: Janeiro e Fevereiro/2017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9" customFormat="1" ht="21.75" customHeight="1" thickBot="1" x14ac:dyDescent="0.4">
      <c r="A10" s="279" t="s">
        <v>128</v>
      </c>
      <c r="B10" s="279"/>
      <c r="C10" s="279"/>
      <c r="D10" s="279"/>
      <c r="E10" s="279"/>
      <c r="F10" s="279"/>
      <c r="G10" s="279"/>
      <c r="H10" s="161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168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x14ac:dyDescent="0.25">
      <c r="A12" s="153" t="s">
        <v>111</v>
      </c>
      <c r="B12" s="154" t="s">
        <v>104</v>
      </c>
      <c r="C12" s="154" t="s">
        <v>105</v>
      </c>
      <c r="D12" s="154" t="s">
        <v>106</v>
      </c>
      <c r="E12" s="154" t="s">
        <v>107</v>
      </c>
      <c r="F12" s="154" t="s">
        <v>108</v>
      </c>
      <c r="G12" s="154" t="s">
        <v>109</v>
      </c>
      <c r="H12" s="154" t="s">
        <v>110</v>
      </c>
      <c r="I12" s="154" t="s">
        <v>112</v>
      </c>
      <c r="J12" s="154" t="s">
        <v>113</v>
      </c>
      <c r="K12" s="154" t="s">
        <v>114</v>
      </c>
      <c r="L12" s="154" t="s">
        <v>115</v>
      </c>
      <c r="M12" s="156" t="s">
        <v>116</v>
      </c>
      <c r="N12" s="155" t="s">
        <v>11</v>
      </c>
    </row>
    <row r="13" spans="1:14" ht="31.5" customHeight="1" x14ac:dyDescent="0.25">
      <c r="A13" s="134">
        <v>2014</v>
      </c>
      <c r="B13" s="149">
        <v>102540.39</v>
      </c>
      <c r="C13" s="149">
        <v>157602.09</v>
      </c>
      <c r="D13" s="149">
        <v>66469.36</v>
      </c>
      <c r="E13" s="149">
        <v>85967.12</v>
      </c>
      <c r="F13" s="149">
        <v>120916.08</v>
      </c>
      <c r="G13" s="149">
        <v>73971.38</v>
      </c>
      <c r="H13" s="149">
        <v>84775.11</v>
      </c>
      <c r="I13" s="149">
        <v>110286</v>
      </c>
      <c r="J13" s="149">
        <v>65652.98</v>
      </c>
      <c r="K13" s="149">
        <v>121800.08</v>
      </c>
      <c r="L13" s="149">
        <v>49853.61</v>
      </c>
      <c r="M13" s="157">
        <v>102483.68</v>
      </c>
      <c r="N13" s="151">
        <f>SUM(B13:M13)</f>
        <v>1142317.8799999999</v>
      </c>
    </row>
    <row r="14" spans="1:14" ht="31.5" customHeight="1" x14ac:dyDescent="0.25">
      <c r="A14" s="134">
        <v>2015</v>
      </c>
      <c r="B14" s="150">
        <v>115645.97</v>
      </c>
      <c r="C14" s="150">
        <v>159671.28</v>
      </c>
      <c r="D14" s="150">
        <v>101851.21</v>
      </c>
      <c r="E14" s="150">
        <v>91442.12</v>
      </c>
      <c r="F14" s="150">
        <v>93753.14</v>
      </c>
      <c r="G14" s="150">
        <v>83782.45</v>
      </c>
      <c r="H14" s="150">
        <v>85388.82</v>
      </c>
      <c r="I14" s="150">
        <v>63805.98</v>
      </c>
      <c r="J14" s="150">
        <v>67896.72</v>
      </c>
      <c r="K14" s="150">
        <v>64399.97</v>
      </c>
      <c r="L14" s="150">
        <v>51283.97</v>
      </c>
      <c r="M14" s="158">
        <v>53127.519999999997</v>
      </c>
      <c r="N14" s="152">
        <f>SUM(B14:M14)</f>
        <v>1032049.1499999999</v>
      </c>
    </row>
    <row r="15" spans="1:14" ht="28.5" customHeight="1" thickBot="1" x14ac:dyDescent="0.3">
      <c r="A15" s="135">
        <v>2016</v>
      </c>
      <c r="B15" s="74">
        <v>95810.240000000005</v>
      </c>
      <c r="C15" s="74">
        <v>132769.26</v>
      </c>
      <c r="D15" s="74">
        <v>93104.24</v>
      </c>
      <c r="E15" s="74">
        <v>85829.01</v>
      </c>
      <c r="F15" s="74">
        <v>81155.570000000007</v>
      </c>
      <c r="G15" s="74">
        <v>89337.59</v>
      </c>
      <c r="H15" s="74">
        <v>60562.13</v>
      </c>
      <c r="I15" s="74">
        <v>73191.360000000001</v>
      </c>
      <c r="J15" s="74">
        <v>118134.86</v>
      </c>
      <c r="K15" s="74">
        <v>68261.34</v>
      </c>
      <c r="L15" s="239">
        <v>68325.509999999995</v>
      </c>
      <c r="M15" s="240">
        <f>83094.18</f>
        <v>83094.179999999993</v>
      </c>
      <c r="N15" s="241">
        <f>SUM(B15:M15)</f>
        <v>1049575.29</v>
      </c>
    </row>
    <row r="16" spans="1:14" ht="28.5" customHeight="1" thickBot="1" x14ac:dyDescent="0.3">
      <c r="A16" s="269" t="s">
        <v>175</v>
      </c>
      <c r="B16" s="270">
        <v>117209.37</v>
      </c>
      <c r="C16" s="270">
        <v>171257.91</v>
      </c>
      <c r="D16" s="270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0</v>
      </c>
      <c r="J16" s="270">
        <v>0</v>
      </c>
      <c r="K16" s="270">
        <v>0</v>
      </c>
      <c r="L16" s="270">
        <v>0</v>
      </c>
      <c r="M16" s="271">
        <v>0</v>
      </c>
      <c r="N16" s="272">
        <f>SUM(B16:M16)</f>
        <v>288467.28000000003</v>
      </c>
    </row>
    <row r="17" spans="1:14" ht="15.75" thickBot="1" x14ac:dyDescent="0.3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31.5" customHeight="1" thickBot="1" x14ac:dyDescent="0.3">
      <c r="A18" s="304" t="s">
        <v>169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x14ac:dyDescent="0.25">
      <c r="A19" s="133" t="s">
        <v>111</v>
      </c>
      <c r="B19" s="136" t="s">
        <v>104</v>
      </c>
      <c r="C19" s="136" t="s">
        <v>105</v>
      </c>
      <c r="D19" s="136" t="s">
        <v>106</v>
      </c>
      <c r="E19" s="136" t="s">
        <v>107</v>
      </c>
      <c r="F19" s="136" t="s">
        <v>108</v>
      </c>
      <c r="G19" s="136" t="s">
        <v>109</v>
      </c>
      <c r="H19" s="136" t="s">
        <v>110</v>
      </c>
      <c r="I19" s="136" t="s">
        <v>112</v>
      </c>
      <c r="J19" s="136" t="s">
        <v>113</v>
      </c>
      <c r="K19" s="136" t="s">
        <v>114</v>
      </c>
      <c r="L19" s="136" t="s">
        <v>115</v>
      </c>
      <c r="M19" s="136" t="s">
        <v>116</v>
      </c>
      <c r="N19" s="137" t="s">
        <v>11</v>
      </c>
    </row>
    <row r="20" spans="1:14" ht="31.5" customHeight="1" x14ac:dyDescent="0.25">
      <c r="A20" s="134">
        <v>2014</v>
      </c>
      <c r="B20" s="149">
        <v>102540.39</v>
      </c>
      <c r="C20" s="149">
        <f>157602.09-10075.22</f>
        <v>147526.87</v>
      </c>
      <c r="D20" s="149">
        <v>66469.36</v>
      </c>
      <c r="E20" s="149">
        <f>85967.12-10075.22</f>
        <v>75891.899999999994</v>
      </c>
      <c r="F20" s="149">
        <f>120916.08-36978.81</f>
        <v>83937.27</v>
      </c>
      <c r="G20" s="149">
        <v>73971.38</v>
      </c>
      <c r="H20" s="149">
        <f>84775.11-19043.08</f>
        <v>65732.03</v>
      </c>
      <c r="I20" s="149">
        <f>110286-38086.16</f>
        <v>72199.839999999997</v>
      </c>
      <c r="J20" s="149">
        <v>65652.98</v>
      </c>
      <c r="K20" s="149">
        <f>121800.08-57129.24</f>
        <v>64670.840000000004</v>
      </c>
      <c r="L20" s="149">
        <v>49853.61</v>
      </c>
      <c r="M20" s="149">
        <f>102483.68-38086.16</f>
        <v>64397.51999999999</v>
      </c>
      <c r="N20" s="151">
        <f>SUM(B20:M20)</f>
        <v>932843.99</v>
      </c>
    </row>
    <row r="21" spans="1:14" ht="31.5" customHeight="1" x14ac:dyDescent="0.25">
      <c r="A21" s="134">
        <v>2015</v>
      </c>
      <c r="B21" s="150">
        <v>115645.97</v>
      </c>
      <c r="C21" s="150">
        <f>159671.28-250.11</f>
        <v>159421.17000000001</v>
      </c>
      <c r="D21" s="150">
        <v>101851.21</v>
      </c>
      <c r="E21" s="150">
        <v>91442.12</v>
      </c>
      <c r="F21" s="150">
        <v>93753.14</v>
      </c>
      <c r="G21" s="150">
        <v>83782.45</v>
      </c>
      <c r="H21" s="150">
        <v>85388.82</v>
      </c>
      <c r="I21" s="150">
        <v>63805.98</v>
      </c>
      <c r="J21" s="150">
        <v>67896.72</v>
      </c>
      <c r="K21" s="150">
        <v>64399.97</v>
      </c>
      <c r="L21" s="150">
        <v>51283.97</v>
      </c>
      <c r="M21" s="150">
        <v>53127.519999999997</v>
      </c>
      <c r="N21" s="152">
        <f>SUM(B21:M21)</f>
        <v>1031799.0399999998</v>
      </c>
    </row>
    <row r="22" spans="1:14" ht="28.5" customHeight="1" thickBot="1" x14ac:dyDescent="0.3">
      <c r="A22" s="135">
        <v>2016</v>
      </c>
      <c r="B22" s="74">
        <v>95810.240000000005</v>
      </c>
      <c r="C22" s="74">
        <v>132769.26</v>
      </c>
      <c r="D22" s="74">
        <v>93104.24</v>
      </c>
      <c r="E22" s="74">
        <v>85829.01</v>
      </c>
      <c r="F22" s="74">
        <v>81155.570000000007</v>
      </c>
      <c r="G22" s="74">
        <v>89337.59</v>
      </c>
      <c r="H22" s="74">
        <v>60562.13</v>
      </c>
      <c r="I22" s="74">
        <f>73191.36-3879.26</f>
        <v>69312.100000000006</v>
      </c>
      <c r="J22" s="74">
        <f>118134.86-49930.67</f>
        <v>68204.19</v>
      </c>
      <c r="K22" s="74">
        <f>68261.34-6241.33</f>
        <v>62020.009999999995</v>
      </c>
      <c r="L22" s="239">
        <f>68325.51-6241.33</f>
        <v>62084.179999999993</v>
      </c>
      <c r="M22" s="240">
        <f>83094.18-6241.33-6241.37</f>
        <v>70611.48</v>
      </c>
      <c r="N22" s="241">
        <f>SUM(B22:M22)</f>
        <v>970800</v>
      </c>
    </row>
    <row r="23" spans="1:14" ht="28.5" customHeight="1" thickBot="1" x14ac:dyDescent="0.3">
      <c r="A23" s="135" t="s">
        <v>175</v>
      </c>
      <c r="B23" s="267">
        <f>117209.37-6859.58</f>
        <v>110349.79</v>
      </c>
      <c r="C23" s="267">
        <f>171257.91-6859.58</f>
        <v>164398.33000000002</v>
      </c>
      <c r="D23" s="267"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  <c r="J23" s="267">
        <v>0</v>
      </c>
      <c r="K23" s="267">
        <v>0</v>
      </c>
      <c r="L23" s="267">
        <v>0</v>
      </c>
      <c r="M23" s="267">
        <v>0</v>
      </c>
      <c r="N23" s="268">
        <f>SUM(B23:M23)</f>
        <v>274748.12</v>
      </c>
    </row>
    <row r="25" spans="1:14" x14ac:dyDescent="0.25">
      <c r="K25" s="70"/>
      <c r="L25" s="70"/>
      <c r="M25" s="70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view="pageBreakPreview" zoomScaleNormal="80" zoomScaleSheetLayoutView="100" workbookViewId="0">
      <selection activeCell="N27" sqref="N27"/>
    </sheetView>
  </sheetViews>
  <sheetFormatPr defaultRowHeight="15" x14ac:dyDescent="0.25"/>
  <cols>
    <col min="1" max="1" width="10.85546875" style="69" bestFit="1" customWidth="1"/>
    <col min="2" max="2" width="10.28515625" style="69" bestFit="1" customWidth="1"/>
    <col min="3" max="3" width="11.5703125" style="69" bestFit="1" customWidth="1"/>
    <col min="4" max="4" width="10.28515625" style="69" bestFit="1" customWidth="1"/>
    <col min="5" max="9" width="11.5703125" style="69" bestFit="1" customWidth="1"/>
    <col min="10" max="10" width="10.28515625" style="69" bestFit="1" customWidth="1"/>
    <col min="11" max="13" width="11.5703125" style="69" bestFit="1" customWidth="1"/>
    <col min="14" max="14" width="15.5703125" style="69" bestFit="1" customWidth="1"/>
    <col min="15" max="16384" width="9.140625" style="69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9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9" customFormat="1" ht="21" x14ac:dyDescent="0.35">
      <c r="A8" s="303" t="str">
        <f>'Dem Fontes e Usos'!A8:G8</f>
        <v>DATA DE ELABORAÇÃO:  29-03-2017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9" customFormat="1" ht="21" customHeight="1" x14ac:dyDescent="0.35">
      <c r="A9" s="303" t="str">
        <f>'Dem Fontes e Usos'!A9:G9</f>
        <v xml:space="preserve">Período: Janeiro e Fevereiro/2017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9" customFormat="1" ht="21.75" customHeight="1" thickBot="1" x14ac:dyDescent="0.4">
      <c r="A10" s="279" t="s">
        <v>126</v>
      </c>
      <c r="B10" s="279"/>
      <c r="C10" s="279"/>
      <c r="D10" s="279"/>
      <c r="E10" s="279"/>
      <c r="F10" s="279"/>
      <c r="G10" s="279"/>
      <c r="H10" s="161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164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x14ac:dyDescent="0.25">
      <c r="A12" s="133" t="s">
        <v>111</v>
      </c>
      <c r="B12" s="136" t="s">
        <v>104</v>
      </c>
      <c r="C12" s="136" t="s">
        <v>105</v>
      </c>
      <c r="D12" s="136" t="s">
        <v>106</v>
      </c>
      <c r="E12" s="136" t="s">
        <v>107</v>
      </c>
      <c r="F12" s="136" t="s">
        <v>108</v>
      </c>
      <c r="G12" s="136" t="s">
        <v>109</v>
      </c>
      <c r="H12" s="136" t="s">
        <v>110</v>
      </c>
      <c r="I12" s="136" t="s">
        <v>112</v>
      </c>
      <c r="J12" s="136" t="s">
        <v>113</v>
      </c>
      <c r="K12" s="136" t="s">
        <v>114</v>
      </c>
      <c r="L12" s="136" t="s">
        <v>115</v>
      </c>
      <c r="M12" s="136" t="s">
        <v>116</v>
      </c>
      <c r="N12" s="137" t="s">
        <v>11</v>
      </c>
    </row>
    <row r="13" spans="1:14" ht="31.5" customHeight="1" x14ac:dyDescent="0.25">
      <c r="A13" s="134">
        <v>2014</v>
      </c>
      <c r="B13" s="71">
        <v>32735.52</v>
      </c>
      <c r="C13" s="71">
        <v>83858.740000000005</v>
      </c>
      <c r="D13" s="71">
        <v>56915.93</v>
      </c>
      <c r="E13" s="71">
        <v>63829.45</v>
      </c>
      <c r="F13" s="71">
        <v>96129.68</v>
      </c>
      <c r="G13" s="71">
        <v>53808.21</v>
      </c>
      <c r="H13" s="71">
        <v>52806.17</v>
      </c>
      <c r="I13" s="71">
        <v>65116.83</v>
      </c>
      <c r="J13" s="71">
        <v>62187.4</v>
      </c>
      <c r="K13" s="71">
        <v>581538.56000000006</v>
      </c>
      <c r="L13" s="71">
        <v>75257.73</v>
      </c>
      <c r="M13" s="71">
        <v>81993.33</v>
      </c>
      <c r="N13" s="140">
        <f>SUM(B13:M13)</f>
        <v>1306177.5500000003</v>
      </c>
    </row>
    <row r="14" spans="1:14" ht="31.5" customHeight="1" x14ac:dyDescent="0.25">
      <c r="A14" s="134">
        <v>2015</v>
      </c>
      <c r="B14" s="138">
        <v>31979.34</v>
      </c>
      <c r="C14" s="138">
        <v>71601.05</v>
      </c>
      <c r="D14" s="138">
        <v>72418.33</v>
      </c>
      <c r="E14" s="138">
        <v>61569.82</v>
      </c>
      <c r="F14" s="138">
        <v>68698.52</v>
      </c>
      <c r="G14" s="138">
        <v>69689.14</v>
      </c>
      <c r="H14" s="138">
        <v>70245.13</v>
      </c>
      <c r="I14" s="138">
        <v>82776.009999999995</v>
      </c>
      <c r="J14" s="138">
        <v>81743.75</v>
      </c>
      <c r="K14" s="138">
        <v>65534.35</v>
      </c>
      <c r="L14" s="138">
        <v>101076.71</v>
      </c>
      <c r="M14" s="138">
        <v>180517.37</v>
      </c>
      <c r="N14" s="139">
        <f>SUM(B14:M14)</f>
        <v>957849.5199999999</v>
      </c>
    </row>
    <row r="15" spans="1:14" ht="28.5" customHeight="1" thickBot="1" x14ac:dyDescent="0.3">
      <c r="A15" s="135">
        <v>2016</v>
      </c>
      <c r="B15" s="74">
        <v>59428.71</v>
      </c>
      <c r="C15" s="74">
        <v>116089.8</v>
      </c>
      <c r="D15" s="74">
        <v>84396.03</v>
      </c>
      <c r="E15" s="74">
        <v>105828.97</v>
      </c>
      <c r="F15" s="74">
        <v>135107.85999999999</v>
      </c>
      <c r="G15" s="74">
        <v>127064.79</v>
      </c>
      <c r="H15" s="74">
        <v>146545.87</v>
      </c>
      <c r="I15" s="74">
        <v>131238.82</v>
      </c>
      <c r="J15" s="74">
        <v>71176.639999999999</v>
      </c>
      <c r="K15" s="74">
        <v>71650.240000000005</v>
      </c>
      <c r="L15" s="74">
        <v>81314.240000000005</v>
      </c>
      <c r="M15" s="74">
        <v>141843.25</v>
      </c>
      <c r="N15" s="141">
        <f>SUM(B15:M15)</f>
        <v>1271685.2200000002</v>
      </c>
    </row>
    <row r="16" spans="1:14" s="73" customFormat="1" ht="28.5" customHeight="1" x14ac:dyDescent="0.25">
      <c r="A16" s="134" t="s">
        <v>175</v>
      </c>
      <c r="B16" s="138">
        <v>63635.839999999997</v>
      </c>
      <c r="C16" s="138">
        <v>59866.41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9">
        <f>SUM(B16:M16)</f>
        <v>123502.25</v>
      </c>
    </row>
    <row r="17" spans="1:14" ht="15.75" thickBot="1" x14ac:dyDescent="0.3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31.5" customHeight="1" thickBot="1" x14ac:dyDescent="0.3">
      <c r="A18" s="304" t="s">
        <v>167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x14ac:dyDescent="0.25">
      <c r="A19" s="133" t="s">
        <v>111</v>
      </c>
      <c r="B19" s="136" t="s">
        <v>104</v>
      </c>
      <c r="C19" s="136" t="s">
        <v>105</v>
      </c>
      <c r="D19" s="136" t="s">
        <v>106</v>
      </c>
      <c r="E19" s="136" t="s">
        <v>107</v>
      </c>
      <c r="F19" s="136" t="s">
        <v>108</v>
      </c>
      <c r="G19" s="136" t="s">
        <v>109</v>
      </c>
      <c r="H19" s="136" t="s">
        <v>110</v>
      </c>
      <c r="I19" s="136" t="s">
        <v>112</v>
      </c>
      <c r="J19" s="136" t="s">
        <v>113</v>
      </c>
      <c r="K19" s="136" t="s">
        <v>114</v>
      </c>
      <c r="L19" s="136" t="s">
        <v>115</v>
      </c>
      <c r="M19" s="136" t="s">
        <v>116</v>
      </c>
      <c r="N19" s="137" t="s">
        <v>11</v>
      </c>
    </row>
    <row r="20" spans="1:14" ht="31.5" customHeight="1" x14ac:dyDescent="0.25">
      <c r="A20" s="134">
        <v>2014</v>
      </c>
      <c r="B20" s="71">
        <v>32735.52</v>
      </c>
      <c r="C20" s="71">
        <f>83858.74-4098</f>
        <v>79760.740000000005</v>
      </c>
      <c r="D20" s="71">
        <v>56915.93</v>
      </c>
      <c r="E20" s="71">
        <f>63829.45-7895</f>
        <v>55934.45</v>
      </c>
      <c r="F20" s="71">
        <v>96129.68</v>
      </c>
      <c r="G20" s="71">
        <v>53808.21</v>
      </c>
      <c r="H20" s="71">
        <v>52806.17</v>
      </c>
      <c r="I20" s="71">
        <v>65116.83</v>
      </c>
      <c r="J20" s="71">
        <v>62187.4</v>
      </c>
      <c r="K20" s="71">
        <f>581538.56-520000</f>
        <v>61538.560000000056</v>
      </c>
      <c r="L20" s="71">
        <v>75257.73</v>
      </c>
      <c r="M20" s="71">
        <v>81993.33</v>
      </c>
      <c r="N20" s="140">
        <f>SUM(B20:M20)</f>
        <v>774184.55</v>
      </c>
    </row>
    <row r="21" spans="1:14" ht="31.5" customHeight="1" x14ac:dyDescent="0.25">
      <c r="A21" s="134">
        <v>2015</v>
      </c>
      <c r="B21" s="138">
        <v>31979.34</v>
      </c>
      <c r="C21" s="138">
        <v>71601.05</v>
      </c>
      <c r="D21" s="138">
        <v>72418.33</v>
      </c>
      <c r="E21" s="138">
        <v>61569.82</v>
      </c>
      <c r="F21" s="138">
        <v>68698.52</v>
      </c>
      <c r="G21" s="138">
        <v>69689.14</v>
      </c>
      <c r="H21" s="138">
        <v>70245.13</v>
      </c>
      <c r="I21" s="138">
        <v>82776.009999999995</v>
      </c>
      <c r="J21" s="138">
        <v>81743.75</v>
      </c>
      <c r="K21" s="138">
        <v>65534.35</v>
      </c>
      <c r="L21" s="138">
        <v>101076.71</v>
      </c>
      <c r="M21" s="138">
        <v>180517.37</v>
      </c>
      <c r="N21" s="139">
        <f>SUM(B21:M21)</f>
        <v>957849.5199999999</v>
      </c>
    </row>
    <row r="22" spans="1:14" ht="28.5" customHeight="1" thickBot="1" x14ac:dyDescent="0.3">
      <c r="A22" s="135">
        <v>2016</v>
      </c>
      <c r="B22" s="74">
        <v>59428.71</v>
      </c>
      <c r="C22" s="74">
        <f>116089.8-28574.35</f>
        <v>87515.450000000012</v>
      </c>
      <c r="D22" s="74">
        <v>84396.03</v>
      </c>
      <c r="E22" s="74">
        <f>105828.97-24062.66</f>
        <v>81766.31</v>
      </c>
      <c r="F22" s="74">
        <f>135107.86-47178.86</f>
        <v>87928.999999999985</v>
      </c>
      <c r="G22" s="74">
        <f>127064.79-48394.74</f>
        <v>78670.049999999988</v>
      </c>
      <c r="H22" s="74">
        <f>146545.87-75380.51</f>
        <v>71165.36</v>
      </c>
      <c r="I22" s="74">
        <v>77502.880000000005</v>
      </c>
      <c r="J22" s="74">
        <v>71176.639999999999</v>
      </c>
      <c r="K22" s="74">
        <v>71650.240000000005</v>
      </c>
      <c r="L22" s="74">
        <f>81314.24-7540</f>
        <v>73774.240000000005</v>
      </c>
      <c r="M22" s="74">
        <v>141843.25</v>
      </c>
      <c r="N22" s="141">
        <f>SUM(B22:M22)</f>
        <v>986818.16</v>
      </c>
    </row>
    <row r="23" spans="1:14" s="73" customFormat="1" ht="28.5" customHeight="1" x14ac:dyDescent="0.25">
      <c r="A23" s="134" t="s">
        <v>175</v>
      </c>
      <c r="B23" s="138">
        <v>63635.839999999997</v>
      </c>
      <c r="C23" s="138">
        <v>59866.41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9">
        <f>SUM(B23:M23)</f>
        <v>123502.25</v>
      </c>
    </row>
    <row r="24" spans="1:14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</row>
    <row r="25" spans="1:14" x14ac:dyDescent="0.25">
      <c r="A25" s="159"/>
      <c r="B25" s="159"/>
      <c r="C25" s="159"/>
      <c r="D25" s="160"/>
      <c r="E25" s="159"/>
      <c r="F25" s="159"/>
      <c r="G25" s="159"/>
      <c r="H25" s="160"/>
      <c r="I25" s="160"/>
      <c r="J25" s="159"/>
      <c r="K25" s="160"/>
      <c r="L25" s="160"/>
      <c r="M25" s="160"/>
      <c r="N25" s="159"/>
    </row>
    <row r="26" spans="1:14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7" spans="1:14" x14ac:dyDescent="0.25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view="pageBreakPreview" zoomScaleNormal="100" zoomScaleSheetLayoutView="100" workbookViewId="0">
      <selection activeCell="D12" sqref="D12:E12"/>
    </sheetView>
  </sheetViews>
  <sheetFormatPr defaultRowHeight="15.75" x14ac:dyDescent="0.25"/>
  <cols>
    <col min="1" max="1" width="25.7109375" style="67" customWidth="1"/>
    <col min="2" max="4" width="13.28515625" style="68" customWidth="1"/>
    <col min="5" max="8" width="13.28515625" style="67" customWidth="1"/>
    <col min="9" max="16384" width="9.140625" style="67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76"/>
      <c r="J6" s="76"/>
      <c r="K6" s="76"/>
      <c r="L6" s="76"/>
      <c r="M6" s="76"/>
      <c r="N6" s="76"/>
    </row>
    <row r="7" spans="1:14" s="79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76"/>
      <c r="J7" s="76"/>
      <c r="K7" s="76"/>
      <c r="L7" s="76"/>
      <c r="M7" s="76"/>
      <c r="N7" s="76"/>
    </row>
    <row r="8" spans="1:14" s="79" customFormat="1" ht="21" customHeight="1" x14ac:dyDescent="0.35">
      <c r="A8" s="303" t="str">
        <f>'Dem Fontes e Usos'!A8:G8</f>
        <v>DATA DE ELABORAÇÃO:  29-03-2017</v>
      </c>
      <c r="B8" s="278"/>
      <c r="C8" s="278"/>
      <c r="D8" s="278"/>
      <c r="E8" s="278"/>
      <c r="F8" s="278"/>
      <c r="G8" s="278"/>
      <c r="H8" s="278"/>
      <c r="I8" s="76"/>
      <c r="J8" s="76"/>
      <c r="K8" s="76"/>
      <c r="L8" s="76"/>
      <c r="M8" s="76"/>
      <c r="N8" s="76"/>
    </row>
    <row r="9" spans="1:14" s="79" customFormat="1" ht="21" customHeight="1" x14ac:dyDescent="0.35">
      <c r="A9" s="303" t="str">
        <f>'Dem Fontes e Usos'!A9:G9</f>
        <v xml:space="preserve">Período: Janeiro e Fevereiro/2017 </v>
      </c>
      <c r="B9" s="278"/>
      <c r="C9" s="278"/>
      <c r="D9" s="278"/>
      <c r="E9" s="278"/>
      <c r="F9" s="278"/>
      <c r="G9" s="278"/>
      <c r="H9" s="278"/>
      <c r="I9" s="76"/>
      <c r="J9" s="76"/>
      <c r="K9" s="76"/>
      <c r="L9" s="76"/>
      <c r="M9" s="76"/>
      <c r="N9" s="76"/>
    </row>
    <row r="10" spans="1:14" s="79" customFormat="1" ht="21" customHeight="1" x14ac:dyDescent="0.35">
      <c r="A10" s="279" t="s">
        <v>127</v>
      </c>
      <c r="B10" s="279"/>
      <c r="C10" s="279"/>
      <c r="D10" s="279"/>
      <c r="E10" s="279"/>
      <c r="F10" s="279"/>
      <c r="G10" s="279"/>
      <c r="H10" s="279"/>
      <c r="I10" s="76"/>
      <c r="J10" s="76"/>
      <c r="K10" s="76"/>
      <c r="L10" s="76"/>
      <c r="M10" s="76"/>
      <c r="N10" s="76"/>
    </row>
    <row r="11" spans="1:14" ht="33" customHeight="1" x14ac:dyDescent="0.25">
      <c r="A11" s="142"/>
      <c r="B11" s="307" t="s">
        <v>184</v>
      </c>
      <c r="C11" s="307"/>
      <c r="D11" s="307" t="s">
        <v>185</v>
      </c>
      <c r="E11" s="307"/>
      <c r="F11" s="307" t="s">
        <v>97</v>
      </c>
      <c r="G11" s="307"/>
      <c r="H11" s="143" t="s">
        <v>103</v>
      </c>
    </row>
    <row r="12" spans="1:14" ht="28.5" customHeight="1" x14ac:dyDescent="0.25">
      <c r="A12" s="144" t="s">
        <v>123</v>
      </c>
      <c r="B12" s="308">
        <f>SUM('Receita Mês X Mês'!B15)</f>
        <v>95810.240000000005</v>
      </c>
      <c r="C12" s="308"/>
      <c r="D12" s="308">
        <f>SUM('Receita Mês X Mês'!B16)</f>
        <v>117209.37</v>
      </c>
      <c r="E12" s="308"/>
      <c r="F12" s="310">
        <f>D12-B12</f>
        <v>21399.12999999999</v>
      </c>
      <c r="G12" s="310"/>
      <c r="H12" s="145">
        <f>D12/B12</f>
        <v>1.2233490908696187</v>
      </c>
    </row>
    <row r="13" spans="1:14" ht="28.5" customHeight="1" x14ac:dyDescent="0.25">
      <c r="A13" s="144" t="s">
        <v>124</v>
      </c>
      <c r="B13" s="308">
        <f>SUM('Despesas Mês X Mês'!B15)</f>
        <v>59428.71</v>
      </c>
      <c r="C13" s="308"/>
      <c r="D13" s="308">
        <f>SUM('Despesas Mês X Mês'!B16)</f>
        <v>63635.839999999997</v>
      </c>
      <c r="E13" s="308"/>
      <c r="F13" s="311">
        <f>D13-B13</f>
        <v>4207.1299999999974</v>
      </c>
      <c r="G13" s="311"/>
      <c r="H13" s="145">
        <f>D13/B13</f>
        <v>1.0707928878146606</v>
      </c>
    </row>
    <row r="14" spans="1:14" ht="36" customHeight="1" x14ac:dyDescent="0.25">
      <c r="A14" s="147" t="s">
        <v>125</v>
      </c>
      <c r="B14" s="309">
        <f>B12-B13</f>
        <v>36381.530000000006</v>
      </c>
      <c r="C14" s="309"/>
      <c r="D14" s="309">
        <f>D12-D13</f>
        <v>53573.53</v>
      </c>
      <c r="E14" s="309"/>
      <c r="F14" s="312">
        <f>D14-B14</f>
        <v>17191.999999999993</v>
      </c>
      <c r="G14" s="312"/>
      <c r="H14" s="146">
        <f>D14/B14</f>
        <v>1.4725474712031075</v>
      </c>
    </row>
  </sheetData>
  <mergeCells count="17"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  <mergeCell ref="A6:H6"/>
    <mergeCell ref="A7:H7"/>
    <mergeCell ref="A8:H8"/>
    <mergeCell ref="A9:H9"/>
    <mergeCell ref="A10:H10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2017-04-27T21:44:41Z</cp:lastPrinted>
  <dcterms:created xsi:type="dcterms:W3CDTF">2013-07-08T17:53:54Z</dcterms:created>
  <dcterms:modified xsi:type="dcterms:W3CDTF">2017-04-27T21:46:31Z</dcterms:modified>
</cp:coreProperties>
</file>