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540" windowWidth="15600" windowHeight="10452" tabRatio="860" activeTab="10"/>
  </bookViews>
  <sheets>
    <sheet name="Capa" sheetId="14" r:id="rId1"/>
    <sheet name="Dem Fontes e Usos" sheetId="2" r:id="rId2"/>
    <sheet name="2. Exec Plano de Ação" sheetId="5" state="hidden" r:id="rId3"/>
    <sheet name="3. Exec Orçamentária" sheetId="1" state="hidden" r:id="rId4"/>
    <sheet name="AnoXAno" sheetId="12" r:id="rId5"/>
    <sheet name="Exec Orçamentária" sheetId="9" r:id="rId6"/>
    <sheet name="Receita Mês X Mês" sheetId="15" r:id="rId7"/>
    <sheet name="Despesas Mês X Mês" sheetId="13" r:id="rId8"/>
    <sheet name="Receita X Despesa" sheetId="10" r:id="rId9"/>
    <sheet name="Limites Estratéicos" sheetId="16" r:id="rId10"/>
    <sheet name="DESPESAS MENSAIS C. MOV." sheetId="18" r:id="rId11"/>
    <sheet name="Parecer Comissão " sheetId="8" r:id="rId12"/>
  </sheets>
  <definedNames>
    <definedName name="_xlnm._FilterDatabase" localSheetId="3" hidden="1">'3. Exec Orçamentária'!$B$11:$M$33</definedName>
    <definedName name="_xlnm._FilterDatabase" localSheetId="5" hidden="1">'Exec Orçamentária'!$A$11:$H$28</definedName>
    <definedName name="_xlnm.Print_Area" localSheetId="0">Capa!$A$1:$I$33</definedName>
    <definedName name="_xlnm.Print_Area" localSheetId="1">'Dem Fontes e Usos'!$A$1:$F$41</definedName>
    <definedName name="_xlnm.Print_Area" localSheetId="10">'DESPESAS MENSAIS C. MOV.'!$A$1:$N$78</definedName>
    <definedName name="_xlnm.Print_Area" localSheetId="7">'Despesas Mês X Mês'!$A$1:$N$25</definedName>
    <definedName name="_xlnm.Print_Area" localSheetId="5">'Exec Orçamentária'!$A$1:$H$31</definedName>
    <definedName name="_xlnm.Print_Area" localSheetId="9">'Limites Estratéicos'!$A$1:$M$32</definedName>
    <definedName name="_xlnm.Print_Area" localSheetId="11">'Parecer Comissão '!$A$1:$L$30</definedName>
    <definedName name="_xlnm.Print_Area" localSheetId="6">'Receita Mês X Mês'!$A$1:$N$25</definedName>
    <definedName name="_xlnm.Print_Area" localSheetId="8">'Receita X Despesa'!$A$1:$H$14</definedName>
  </definedNames>
  <calcPr calcId="144525"/>
</workbook>
</file>

<file path=xl/calcChain.xml><?xml version="1.0" encoding="utf-8"?>
<calcChain xmlns="http://schemas.openxmlformats.org/spreadsheetml/2006/main">
  <c r="C38" i="2" l="1"/>
  <c r="D32" i="18"/>
  <c r="D25" i="18"/>
  <c r="D21" i="18"/>
  <c r="D14" i="18"/>
  <c r="D46" i="18"/>
  <c r="D49" i="18"/>
  <c r="C32" i="18"/>
  <c r="C25" i="18"/>
  <c r="C38" i="18"/>
  <c r="B32" i="18"/>
  <c r="B17" i="18"/>
  <c r="B37" i="18"/>
  <c r="B10" i="18"/>
  <c r="B16" i="18"/>
  <c r="B25" i="18"/>
  <c r="B28" i="18"/>
  <c r="B27" i="18"/>
  <c r="B50" i="18"/>
  <c r="B12" i="10" l="1"/>
  <c r="D13" i="10"/>
  <c r="D12" i="10"/>
  <c r="C25" i="15"/>
  <c r="C20" i="12"/>
  <c r="C20" i="2"/>
  <c r="D20" i="18" l="1"/>
  <c r="D38" i="18"/>
  <c r="C41" i="18"/>
  <c r="C36" i="18"/>
  <c r="N50" i="18" l="1"/>
  <c r="N51" i="18"/>
  <c r="N52" i="18"/>
  <c r="N53" i="18"/>
  <c r="N54" i="18"/>
  <c r="N55" i="18"/>
  <c r="N56" i="18"/>
  <c r="N57" i="18"/>
  <c r="N58" i="18"/>
  <c r="N59" i="18"/>
  <c r="N60" i="18"/>
  <c r="N61" i="18"/>
  <c r="N62" i="18"/>
  <c r="N63" i="18"/>
  <c r="N64" i="18"/>
  <c r="N65" i="18"/>
  <c r="N66" i="18"/>
  <c r="N67" i="18"/>
  <c r="N68" i="18"/>
  <c r="N69" i="18"/>
  <c r="N70" i="18"/>
  <c r="N49" i="18"/>
  <c r="N5" i="18"/>
  <c r="N6" i="18"/>
  <c r="N7" i="18"/>
  <c r="N8" i="18"/>
  <c r="N9" i="18"/>
  <c r="N10" i="18"/>
  <c r="N11" i="18"/>
  <c r="N12" i="18"/>
  <c r="N13" i="18"/>
  <c r="N14" i="18"/>
  <c r="N15" i="18"/>
  <c r="N16" i="18"/>
  <c r="N17" i="18"/>
  <c r="N18" i="18"/>
  <c r="N19" i="18"/>
  <c r="N20" i="18"/>
  <c r="N21" i="18"/>
  <c r="N22" i="18"/>
  <c r="N23" i="18"/>
  <c r="N24" i="18"/>
  <c r="N25" i="18"/>
  <c r="N26" i="18"/>
  <c r="N27" i="18"/>
  <c r="N28" i="18"/>
  <c r="N29" i="18"/>
  <c r="N30" i="18"/>
  <c r="N31" i="18"/>
  <c r="N32" i="18"/>
  <c r="N4" i="18"/>
  <c r="B25" i="15" l="1"/>
  <c r="D18" i="12"/>
  <c r="B20" i="12"/>
  <c r="L22" i="16" l="1"/>
  <c r="C39" i="2"/>
  <c r="C37" i="2"/>
  <c r="C33" i="2"/>
  <c r="B38" i="2"/>
  <c r="B37" i="2"/>
  <c r="B33" i="2"/>
  <c r="C32" i="2"/>
  <c r="B32" i="2"/>
  <c r="K22" i="16"/>
  <c r="E30" i="16"/>
  <c r="E28" i="16"/>
  <c r="E24" i="16"/>
  <c r="E22" i="16"/>
  <c r="E20" i="16"/>
  <c r="D28" i="16"/>
  <c r="D24" i="16"/>
  <c r="D22" i="16"/>
  <c r="D20" i="16"/>
  <c r="M24" i="13" l="1"/>
  <c r="M24" i="15"/>
  <c r="H48" i="18"/>
  <c r="L48" i="18"/>
  <c r="M33" i="18"/>
  <c r="M36" i="18"/>
  <c r="M48" i="18"/>
  <c r="F24" i="13" l="1"/>
  <c r="E24" i="13"/>
  <c r="C24" i="13"/>
  <c r="D24" i="13"/>
  <c r="G24" i="13"/>
  <c r="H24" i="13"/>
  <c r="I24" i="13"/>
  <c r="J24" i="13"/>
  <c r="K24" i="13"/>
  <c r="L24" i="13"/>
  <c r="B24" i="13"/>
  <c r="B24" i="15"/>
  <c r="C24" i="15"/>
  <c r="F24" i="15"/>
  <c r="G24" i="15"/>
  <c r="H24" i="15"/>
  <c r="L24" i="15"/>
  <c r="E24" i="15"/>
  <c r="I24" i="15"/>
  <c r="J24" i="15"/>
  <c r="K24" i="15"/>
  <c r="D24" i="15"/>
  <c r="E17" i="12"/>
  <c r="F17" i="12"/>
  <c r="E18" i="12"/>
  <c r="F18" i="12"/>
  <c r="E19" i="12"/>
  <c r="F19" i="12"/>
  <c r="F17" i="2"/>
  <c r="F18" i="2"/>
  <c r="F19" i="2"/>
  <c r="D17" i="2"/>
  <c r="D18" i="2"/>
  <c r="D19" i="2"/>
  <c r="D21" i="2"/>
  <c r="F21" i="2"/>
  <c r="B13" i="10" l="1"/>
  <c r="G18" i="12"/>
  <c r="H19" i="12"/>
  <c r="H18" i="12"/>
  <c r="H17" i="12"/>
  <c r="F20" i="12" l="1"/>
  <c r="F16" i="12"/>
  <c r="E16" i="12"/>
  <c r="E20" i="12"/>
  <c r="K48" i="18"/>
  <c r="J48" i="18"/>
  <c r="D20" i="12" l="1"/>
  <c r="G25" i="9"/>
  <c r="G15" i="9" l="1"/>
  <c r="G16" i="9"/>
  <c r="H41" i="18" l="1"/>
  <c r="H36" i="18"/>
  <c r="I48" i="18"/>
  <c r="H33" i="18" l="1"/>
  <c r="G48" i="18" l="1"/>
  <c r="N43" i="18" l="1"/>
  <c r="N42" i="18"/>
  <c r="N38" i="18"/>
  <c r="N40" i="18"/>
  <c r="N47" i="18"/>
  <c r="N74" i="18"/>
  <c r="D45" i="18"/>
  <c r="E45" i="18"/>
  <c r="G45" i="18"/>
  <c r="H45" i="18"/>
  <c r="H71" i="18" s="1"/>
  <c r="I45" i="18"/>
  <c r="J45" i="18"/>
  <c r="K45" i="18"/>
  <c r="L45" i="18"/>
  <c r="M45" i="18"/>
  <c r="B45" i="18"/>
  <c r="F36" i="18"/>
  <c r="G36" i="18"/>
  <c r="I36" i="18"/>
  <c r="J36" i="18"/>
  <c r="K36" i="18"/>
  <c r="L36" i="18"/>
  <c r="B41" i="18"/>
  <c r="E41" i="18"/>
  <c r="F41" i="18"/>
  <c r="G41" i="18"/>
  <c r="I41" i="18"/>
  <c r="J41" i="18"/>
  <c r="K41" i="18"/>
  <c r="L41" i="18"/>
  <c r="M41" i="18"/>
  <c r="E36" i="18"/>
  <c r="D36" i="18"/>
  <c r="N37" i="18"/>
  <c r="B36" i="18"/>
  <c r="M71" i="18" l="1"/>
  <c r="K71" i="18"/>
  <c r="G71" i="18"/>
  <c r="N39" i="18"/>
  <c r="N36" i="18" s="1"/>
  <c r="A6" i="8"/>
  <c r="A6" i="16"/>
  <c r="H6" i="16" s="1"/>
  <c r="A6" i="10"/>
  <c r="A6" i="13"/>
  <c r="A6" i="15"/>
  <c r="A6" i="9"/>
  <c r="A6" i="12"/>
  <c r="F48" i="18" l="1"/>
  <c r="F45" i="18"/>
  <c r="E48" i="18"/>
  <c r="C45" i="18" l="1"/>
  <c r="N46" i="18"/>
  <c r="N45" i="18" s="1"/>
  <c r="F22" i="12"/>
  <c r="D48" i="18"/>
  <c r="D41" i="18" l="1"/>
  <c r="N44" i="18"/>
  <c r="N41" i="18" s="1"/>
  <c r="D33" i="18"/>
  <c r="B76" i="18" l="1"/>
  <c r="M76" i="18"/>
  <c r="L76" i="18"/>
  <c r="K76" i="18"/>
  <c r="J76" i="18"/>
  <c r="I76" i="18"/>
  <c r="H76" i="18"/>
  <c r="G76" i="18"/>
  <c r="F76" i="18"/>
  <c r="E76" i="18"/>
  <c r="D76" i="18"/>
  <c r="C76" i="18"/>
  <c r="N75" i="18"/>
  <c r="C48" i="18"/>
  <c r="B48" i="18"/>
  <c r="L33" i="18"/>
  <c r="K33" i="18"/>
  <c r="J33" i="18"/>
  <c r="I33" i="18"/>
  <c r="G33" i="18"/>
  <c r="F33" i="18"/>
  <c r="E33" i="18"/>
  <c r="N76" i="18" l="1"/>
  <c r="C33" i="18"/>
  <c r="B33" i="18"/>
  <c r="G78" i="18"/>
  <c r="A7" i="16"/>
  <c r="H7" i="16" s="1"/>
  <c r="A8" i="16"/>
  <c r="H8" i="16" s="1"/>
  <c r="A9" i="16"/>
  <c r="H9" i="16" s="1"/>
  <c r="M12" i="16"/>
  <c r="D13" i="16"/>
  <c r="E13" i="16"/>
  <c r="M13" i="16"/>
  <c r="K20" i="16"/>
  <c r="L20" i="16"/>
  <c r="K23" i="16"/>
  <c r="L23" i="16"/>
  <c r="F26" i="16"/>
  <c r="D30" i="16"/>
  <c r="M20" i="16" l="1"/>
  <c r="F24" i="16"/>
  <c r="M23" i="16"/>
  <c r="M22" i="16"/>
  <c r="F30" i="16"/>
  <c r="F22" i="16"/>
  <c r="F20" i="16"/>
  <c r="F13" i="16"/>
  <c r="F28" i="16"/>
  <c r="N33" i="18"/>
  <c r="A7" i="12"/>
  <c r="D16" i="16" l="1"/>
  <c r="B39" i="2"/>
  <c r="B35" i="2"/>
  <c r="C35" i="2"/>
  <c r="N16" i="13" l="1"/>
  <c r="N24" i="13"/>
  <c r="D28" i="9" l="1"/>
  <c r="D26" i="9"/>
  <c r="N16" i="15"/>
  <c r="F25" i="12"/>
  <c r="F24" i="12"/>
  <c r="F21" i="12"/>
  <c r="E27" i="12"/>
  <c r="E21" i="12"/>
  <c r="E25" i="12"/>
  <c r="E24" i="12"/>
  <c r="E22" i="12"/>
  <c r="H25" i="9" l="1"/>
  <c r="E16" i="9"/>
  <c r="H16" i="9"/>
  <c r="E15" i="9"/>
  <c r="H15" i="9"/>
  <c r="D30" i="9"/>
  <c r="G22" i="12"/>
  <c r="J23" i="15" l="1"/>
  <c r="I23" i="15"/>
  <c r="M23" i="15"/>
  <c r="M15" i="15"/>
  <c r="L23" i="15"/>
  <c r="K23" i="15"/>
  <c r="L23" i="13"/>
  <c r="N15" i="15" l="1"/>
  <c r="N15" i="13"/>
  <c r="F16" i="2"/>
  <c r="C23" i="2" l="1"/>
  <c r="E15" i="16" s="1"/>
  <c r="D25" i="2"/>
  <c r="E16" i="16"/>
  <c r="A8" i="8"/>
  <c r="A9" i="8"/>
  <c r="A7" i="8"/>
  <c r="A8" i="10"/>
  <c r="A9" i="10"/>
  <c r="A7" i="10"/>
  <c r="A7" i="13"/>
  <c r="A9" i="13"/>
  <c r="A8" i="13"/>
  <c r="A9" i="15"/>
  <c r="A8" i="15"/>
  <c r="A7" i="15"/>
  <c r="A9" i="9"/>
  <c r="A8" i="9"/>
  <c r="A7" i="9"/>
  <c r="A9" i="12"/>
  <c r="A8" i="12"/>
  <c r="F16" i="16" l="1"/>
  <c r="D24" i="12"/>
  <c r="C22" i="15" l="1"/>
  <c r="M21" i="15"/>
  <c r="K21" i="15"/>
  <c r="I21" i="15"/>
  <c r="H21" i="15"/>
  <c r="F21" i="15"/>
  <c r="E21" i="15"/>
  <c r="C21" i="15"/>
  <c r="N14" i="15"/>
  <c r="N13" i="15"/>
  <c r="N23" i="15" l="1"/>
  <c r="N22" i="15"/>
  <c r="N21" i="15"/>
  <c r="E21" i="13" l="1"/>
  <c r="C21" i="13"/>
  <c r="K21" i="13"/>
  <c r="H23" i="13"/>
  <c r="G23" i="13"/>
  <c r="F23" i="13"/>
  <c r="E23" i="13"/>
  <c r="C23" i="13"/>
  <c r="N22" i="13"/>
  <c r="N14" i="13"/>
  <c r="N13" i="13"/>
  <c r="N21" i="13" l="1"/>
  <c r="N23" i="13"/>
  <c r="F26" i="12"/>
  <c r="C26" i="12"/>
  <c r="E15" i="12"/>
  <c r="E14" i="12" s="1"/>
  <c r="E26" i="12"/>
  <c r="E23" i="12"/>
  <c r="B26" i="12"/>
  <c r="B23" i="12"/>
  <c r="B15" i="12"/>
  <c r="B14" i="12" s="1"/>
  <c r="E13" i="12" l="1"/>
  <c r="E28" i="12" s="1"/>
  <c r="B13" i="12"/>
  <c r="B28" i="12" s="1"/>
  <c r="G27" i="12"/>
  <c r="D27" i="12"/>
  <c r="G26" i="12"/>
  <c r="D26" i="12"/>
  <c r="C23" i="12"/>
  <c r="D23" i="12" s="1"/>
  <c r="G21" i="12"/>
  <c r="H21" i="12"/>
  <c r="D21" i="12"/>
  <c r="H20" i="12"/>
  <c r="G16" i="12"/>
  <c r="D16" i="12"/>
  <c r="C15" i="12"/>
  <c r="D15" i="12" s="1"/>
  <c r="C14" i="12" l="1"/>
  <c r="D14" i="12" s="1"/>
  <c r="G20" i="12"/>
  <c r="H16" i="12"/>
  <c r="H24" i="12"/>
  <c r="C13" i="12" l="1"/>
  <c r="B15" i="2"/>
  <c r="B14" i="2" s="1"/>
  <c r="D12" i="16" s="1"/>
  <c r="D14" i="16" s="1"/>
  <c r="D17" i="16" s="1"/>
  <c r="D16" i="2"/>
  <c r="C15" i="2"/>
  <c r="F15" i="12" s="1"/>
  <c r="D20" i="2"/>
  <c r="F20" i="2"/>
  <c r="D22" i="2"/>
  <c r="F22" i="2"/>
  <c r="B23" i="2"/>
  <c r="D15" i="16" s="1"/>
  <c r="F15" i="16" s="1"/>
  <c r="D24" i="2"/>
  <c r="F24" i="2"/>
  <c r="F25" i="2"/>
  <c r="B26" i="2"/>
  <c r="C26" i="2"/>
  <c r="D27" i="2"/>
  <c r="F27" i="2"/>
  <c r="F26" i="2" s="1"/>
  <c r="B31" i="2"/>
  <c r="B34" i="2"/>
  <c r="C34" i="2"/>
  <c r="D35" i="2"/>
  <c r="F35" i="2"/>
  <c r="F36" i="2"/>
  <c r="F37" i="2"/>
  <c r="D23" i="16" l="1"/>
  <c r="D21" i="16"/>
  <c r="D27" i="16"/>
  <c r="D29" i="16"/>
  <c r="D25" i="16"/>
  <c r="D31" i="16"/>
  <c r="B30" i="2"/>
  <c r="B40" i="2" s="1"/>
  <c r="F34" i="2"/>
  <c r="D34" i="2"/>
  <c r="D26" i="2"/>
  <c r="F23" i="2"/>
  <c r="D23" i="2"/>
  <c r="F23" i="12"/>
  <c r="B13" i="2"/>
  <c r="K14" i="16" s="1"/>
  <c r="K21" i="16" s="1"/>
  <c r="G15" i="12"/>
  <c r="H15" i="12"/>
  <c r="D13" i="12"/>
  <c r="C28" i="12"/>
  <c r="F15" i="2"/>
  <c r="F14" i="2" s="1"/>
  <c r="C14" i="2"/>
  <c r="E12" i="16" s="1"/>
  <c r="D15" i="2"/>
  <c r="F13" i="2" l="1"/>
  <c r="F28" i="2" s="1"/>
  <c r="F12" i="16"/>
  <c r="E14" i="16"/>
  <c r="B28" i="2"/>
  <c r="F14" i="12"/>
  <c r="G14" i="12" s="1"/>
  <c r="H23" i="12"/>
  <c r="D28" i="12"/>
  <c r="C13" i="2"/>
  <c r="D14" i="2"/>
  <c r="F13" i="12" l="1"/>
  <c r="G13" i="12" s="1"/>
  <c r="L14" i="16"/>
  <c r="F14" i="16"/>
  <c r="E17" i="16"/>
  <c r="H14" i="12"/>
  <c r="D13" i="2"/>
  <c r="C28" i="2"/>
  <c r="N25" i="15" l="1"/>
  <c r="E17" i="2"/>
  <c r="E19" i="2"/>
  <c r="E18" i="2"/>
  <c r="E25" i="2"/>
  <c r="E21" i="2"/>
  <c r="F28" i="12"/>
  <c r="G28" i="12" s="1"/>
  <c r="F17" i="16"/>
  <c r="E31" i="16"/>
  <c r="F31" i="16" s="1"/>
  <c r="E27" i="16"/>
  <c r="F27" i="16" s="1"/>
  <c r="E21" i="16"/>
  <c r="F21" i="16" s="1"/>
  <c r="E23" i="16"/>
  <c r="F23" i="16" s="1"/>
  <c r="E29" i="16"/>
  <c r="F29" i="16" s="1"/>
  <c r="E25" i="16"/>
  <c r="F25" i="16" s="1"/>
  <c r="L21" i="16"/>
  <c r="M21" i="16" s="1"/>
  <c r="M14" i="16"/>
  <c r="H13" i="12"/>
  <c r="E20" i="2"/>
  <c r="E22" i="2"/>
  <c r="E24" i="2"/>
  <c r="E27" i="2"/>
  <c r="E26" i="2" s="1"/>
  <c r="D28" i="2"/>
  <c r="E16" i="2"/>
  <c r="N17" i="15" l="1"/>
  <c r="E23" i="2"/>
  <c r="H28" i="12"/>
  <c r="E15" i="2"/>
  <c r="E14" i="2" s="1"/>
  <c r="F12" i="10" l="1"/>
  <c r="H12" i="10"/>
  <c r="E13" i="2"/>
  <c r="E28" i="2" s="1"/>
  <c r="B14" i="10"/>
  <c r="F33" i="2" l="1"/>
  <c r="D33" i="2"/>
  <c r="F28" i="9"/>
  <c r="G27" i="9"/>
  <c r="F26" i="9"/>
  <c r="G24" i="9"/>
  <c r="G23" i="9"/>
  <c r="G22" i="9"/>
  <c r="G21" i="9"/>
  <c r="G20" i="9"/>
  <c r="G19" i="9"/>
  <c r="G18" i="9"/>
  <c r="G17" i="9"/>
  <c r="G14" i="9"/>
  <c r="G13" i="9"/>
  <c r="G12" i="9"/>
  <c r="H13" i="10" l="1"/>
  <c r="C31" i="2"/>
  <c r="D32" i="2"/>
  <c r="F32" i="2"/>
  <c r="F31" i="2" s="1"/>
  <c r="F30" i="2" s="1"/>
  <c r="H28" i="9"/>
  <c r="E27" i="9"/>
  <c r="H27" i="9"/>
  <c r="F30" i="9"/>
  <c r="H26" i="9"/>
  <c r="E12" i="9"/>
  <c r="H13" i="9"/>
  <c r="H17" i="9"/>
  <c r="H20" i="9"/>
  <c r="H22" i="9"/>
  <c r="H12" i="9"/>
  <c r="H14" i="9"/>
  <c r="H18" i="9"/>
  <c r="H19" i="9"/>
  <c r="H21" i="9"/>
  <c r="H23" i="9"/>
  <c r="H24" i="9"/>
  <c r="E20" i="9"/>
  <c r="E17" i="9"/>
  <c r="E13" i="9"/>
  <c r="E25" i="9"/>
  <c r="E22" i="9"/>
  <c r="E30" i="9"/>
  <c r="E26" i="9"/>
  <c r="E24" i="9"/>
  <c r="E23" i="9"/>
  <c r="E21" i="9"/>
  <c r="E19" i="9"/>
  <c r="E18" i="9"/>
  <c r="E14" i="9"/>
  <c r="E28" i="9"/>
  <c r="G26" i="9"/>
  <c r="G28" i="9"/>
  <c r="E20" i="1"/>
  <c r="E21" i="1"/>
  <c r="E22" i="1"/>
  <c r="E23" i="1"/>
  <c r="E24" i="1"/>
  <c r="E25" i="1"/>
  <c r="E26" i="1"/>
  <c r="E27" i="1"/>
  <c r="E28" i="1"/>
  <c r="E29" i="1"/>
  <c r="E30" i="1"/>
  <c r="E31" i="1"/>
  <c r="E15" i="1"/>
  <c r="E16" i="1"/>
  <c r="E17" i="1"/>
  <c r="E18" i="1"/>
  <c r="E19" i="1"/>
  <c r="E14" i="1"/>
  <c r="B15" i="1"/>
  <c r="C15" i="1"/>
  <c r="B16" i="1"/>
  <c r="C16" i="1"/>
  <c r="B17" i="1"/>
  <c r="C17" i="1"/>
  <c r="B18" i="1"/>
  <c r="C18" i="1"/>
  <c r="B19" i="1"/>
  <c r="C19" i="1"/>
  <c r="B20" i="1"/>
  <c r="C20" i="1"/>
  <c r="B21" i="1"/>
  <c r="C21" i="1"/>
  <c r="B22" i="1"/>
  <c r="C22" i="1"/>
  <c r="B23" i="1"/>
  <c r="C23" i="1"/>
  <c r="B24" i="1"/>
  <c r="C24" i="1"/>
  <c r="B25" i="1"/>
  <c r="C25" i="1"/>
  <c r="B26" i="1"/>
  <c r="C26" i="1"/>
  <c r="B27" i="1"/>
  <c r="C27" i="1"/>
  <c r="B28" i="1"/>
  <c r="C28" i="1"/>
  <c r="B29" i="1"/>
  <c r="C29" i="1"/>
  <c r="B30" i="1"/>
  <c r="C30" i="1"/>
  <c r="B31" i="1"/>
  <c r="C31" i="1"/>
  <c r="C14" i="1"/>
  <c r="B14" i="1"/>
  <c r="N25" i="13" l="1"/>
  <c r="F13" i="10"/>
  <c r="C30" i="2"/>
  <c r="D31" i="2"/>
  <c r="G30" i="9"/>
  <c r="H30" i="9"/>
  <c r="G32" i="1"/>
  <c r="N17" i="13" l="1"/>
  <c r="C40" i="2"/>
  <c r="D30" i="2"/>
  <c r="I32" i="1"/>
  <c r="F32" i="1" l="1"/>
  <c r="F39" i="2" l="1"/>
  <c r="H27" i="1" l="1"/>
  <c r="J27" i="1" s="1"/>
  <c r="L27" i="1" s="1"/>
  <c r="H28" i="1"/>
  <c r="J28" i="1" s="1"/>
  <c r="H15" i="1"/>
  <c r="J15" i="1" s="1"/>
  <c r="L15" i="1" s="1"/>
  <c r="K15" i="1"/>
  <c r="H16" i="1"/>
  <c r="J16" i="1" s="1"/>
  <c r="L16" i="1" s="1"/>
  <c r="K16" i="1"/>
  <c r="H17" i="1"/>
  <c r="J17" i="1" s="1"/>
  <c r="L17" i="1" s="1"/>
  <c r="K17" i="1"/>
  <c r="H18" i="1"/>
  <c r="J18" i="1" s="1"/>
  <c r="L18" i="1" s="1"/>
  <c r="K18" i="1"/>
  <c r="H19" i="1"/>
  <c r="J19" i="1" s="1"/>
  <c r="L19" i="1" s="1"/>
  <c r="K19" i="1"/>
  <c r="H20" i="1"/>
  <c r="J20" i="1" s="1"/>
  <c r="L20" i="1" s="1"/>
  <c r="K20" i="1"/>
  <c r="H21" i="1"/>
  <c r="J21" i="1" s="1"/>
  <c r="L21" i="1" s="1"/>
  <c r="K21" i="1"/>
  <c r="H22" i="1"/>
  <c r="J22" i="1" s="1"/>
  <c r="L22" i="1" s="1"/>
  <c r="K22" i="1"/>
  <c r="H23" i="1"/>
  <c r="J23" i="1" s="1"/>
  <c r="L23" i="1" s="1"/>
  <c r="K23" i="1"/>
  <c r="H24" i="1"/>
  <c r="J24" i="1" s="1"/>
  <c r="L24" i="1" s="1"/>
  <c r="K24" i="1"/>
  <c r="H25" i="1"/>
  <c r="J25" i="1" s="1"/>
  <c r="L25" i="1" s="1"/>
  <c r="K25" i="1"/>
  <c r="H26" i="1"/>
  <c r="J26" i="1" s="1"/>
  <c r="L26" i="1" s="1"/>
  <c r="K26" i="1"/>
  <c r="K27" i="1"/>
  <c r="K28" i="1"/>
  <c r="H14" i="1"/>
  <c r="J14" i="1" s="1"/>
  <c r="L14" i="1" s="1"/>
  <c r="K14" i="1"/>
  <c r="L28" i="1" l="1"/>
  <c r="B8" i="1" l="1"/>
  <c r="K31" i="1"/>
  <c r="K30" i="1"/>
  <c r="K29" i="1"/>
  <c r="F38" i="2"/>
  <c r="H31" i="1"/>
  <c r="J31" i="1" s="1"/>
  <c r="H30" i="1"/>
  <c r="J30" i="1" s="1"/>
  <c r="H29" i="1"/>
  <c r="J29" i="1" s="1"/>
  <c r="E33" i="2" l="1"/>
  <c r="E35" i="2"/>
  <c r="E32" i="2"/>
  <c r="E36" i="2"/>
  <c r="E37" i="2"/>
  <c r="E38" i="2"/>
  <c r="J32" i="1"/>
  <c r="E31" i="2" l="1"/>
  <c r="E34" i="2"/>
  <c r="E39" i="2"/>
  <c r="D40" i="2"/>
  <c r="E30" i="2" l="1"/>
  <c r="B41" i="2"/>
  <c r="D14" i="10" l="1"/>
  <c r="C41" i="2"/>
  <c r="E40" i="2"/>
  <c r="F40" i="2"/>
  <c r="F41" i="2" s="1"/>
  <c r="K32" i="1"/>
  <c r="F14" i="10" l="1"/>
  <c r="H14" i="10"/>
  <c r="B71" i="18" l="1"/>
  <c r="B78" i="18" s="1"/>
  <c r="D71" i="18"/>
  <c r="D78" i="18" s="1"/>
  <c r="J71" i="18"/>
  <c r="J78" i="18" s="1"/>
  <c r="K78" i="18"/>
  <c r="H78" i="18"/>
  <c r="E71" i="18"/>
  <c r="E78" i="18" s="1"/>
  <c r="I71" i="18"/>
  <c r="I78" i="18" s="1"/>
  <c r="F71" i="18"/>
  <c r="F78" i="18" s="1"/>
  <c r="C71" i="18"/>
  <c r="C78" i="18" s="1"/>
  <c r="M78" i="18"/>
  <c r="L71" i="18"/>
  <c r="L78" i="18" s="1"/>
  <c r="N24" i="15"/>
  <c r="N48" i="18" l="1"/>
  <c r="N71" i="18" s="1"/>
  <c r="N78" i="18" s="1"/>
</calcChain>
</file>

<file path=xl/comments1.xml><?xml version="1.0" encoding="utf-8"?>
<comments xmlns="http://schemas.openxmlformats.org/spreadsheetml/2006/main">
  <authors>
    <author>admin</author>
  </authors>
  <commentList>
    <comment ref="A20" authorId="0">
      <text>
        <r>
          <rPr>
            <sz val="9"/>
            <color indexed="81"/>
            <rFont val="Tahoma"/>
            <family val="2"/>
          </rPr>
          <t>Considerar taxas e multas todos os valores relacionados com: Taxa Expediente RRT extemporâneo; Taxa Selic; Documento de fiscalização; Multa e mora de anuidades; Certidão de acervo técnico com atestado; Registro de direito autoral; Multa ética; Multa ausência na eleição, conforme informações do Siscont.net.</t>
        </r>
      </text>
    </comment>
  </commentList>
</comments>
</file>

<file path=xl/comments2.xml><?xml version="1.0" encoding="utf-8"?>
<comments xmlns="http://schemas.openxmlformats.org/spreadsheetml/2006/main">
  <authors>
    <author>admin</author>
    <author>Convidado</author>
    <author>Rodrigo</author>
  </authors>
  <commentList>
    <comment ref="C13" authorId="0">
      <text>
        <r>
          <rPr>
            <sz val="9"/>
            <color indexed="81"/>
            <rFont val="Tahoma"/>
            <family val="2"/>
          </rPr>
          <t>Fundo de Apoio - R$ 10.075,22</t>
        </r>
      </text>
    </comment>
    <comment ref="E13" authorId="0">
      <text>
        <r>
          <rPr>
            <sz val="9"/>
            <color indexed="81"/>
            <rFont val="Tahoma"/>
            <family val="2"/>
          </rPr>
          <t>Fundo de Apoio R$ 10.075,22</t>
        </r>
      </text>
    </comment>
    <comment ref="F13" authorId="0">
      <text>
        <r>
          <rPr>
            <b/>
            <sz val="9"/>
            <color indexed="81"/>
            <rFont val="Tahoma"/>
            <family val="2"/>
          </rPr>
          <t xml:space="preserve">Fundo de Apoio R$ </t>
        </r>
        <r>
          <rPr>
            <sz val="9"/>
            <color indexed="81"/>
            <rFont val="Tahoma"/>
            <family val="2"/>
          </rPr>
          <t xml:space="preserve">
36.978,81</t>
        </r>
      </text>
    </comment>
    <comment ref="H13" authorId="0">
      <text>
        <r>
          <rPr>
            <b/>
            <sz val="9"/>
            <color indexed="81"/>
            <rFont val="Tahoma"/>
            <family val="2"/>
          </rPr>
          <t>fundo de Apoio R$</t>
        </r>
        <r>
          <rPr>
            <sz val="9"/>
            <color indexed="81"/>
            <rFont val="Tahoma"/>
            <family val="2"/>
          </rPr>
          <t xml:space="preserve">
19.043,08</t>
        </r>
      </text>
    </comment>
    <comment ref="I13" authorId="0">
      <text>
        <r>
          <rPr>
            <b/>
            <sz val="9"/>
            <color indexed="81"/>
            <rFont val="Tahoma"/>
            <family val="2"/>
          </rPr>
          <t>Fundo de Apoio R$</t>
        </r>
        <r>
          <rPr>
            <sz val="9"/>
            <color indexed="81"/>
            <rFont val="Tahoma"/>
            <family val="2"/>
          </rPr>
          <t xml:space="preserve">
38.086,16</t>
        </r>
      </text>
    </comment>
    <comment ref="K13" authorId="0">
      <text>
        <r>
          <rPr>
            <sz val="9"/>
            <color indexed="81"/>
            <rFont val="Tahoma"/>
            <family val="2"/>
          </rPr>
          <t xml:space="preserve">Fundo de Apoio
R$ 57.129,24 </t>
        </r>
      </text>
    </comment>
    <comment ref="M13" authorId="0">
      <text>
        <r>
          <rPr>
            <b/>
            <sz val="9"/>
            <color indexed="81"/>
            <rFont val="Tahoma"/>
            <family val="2"/>
          </rPr>
          <t>Fundo de Apoio R$</t>
        </r>
        <r>
          <rPr>
            <sz val="9"/>
            <color indexed="81"/>
            <rFont val="Tahoma"/>
            <family val="2"/>
          </rPr>
          <t xml:space="preserve">
38.086,16</t>
        </r>
      </text>
    </comment>
    <comment ref="C14" authorId="0">
      <text>
        <r>
          <rPr>
            <b/>
            <sz val="9"/>
            <color indexed="81"/>
            <rFont val="Tahoma"/>
            <family val="2"/>
          </rPr>
          <t>Fundo de Apoio R$ 250,11
Saldo de 2014</t>
        </r>
        <r>
          <rPr>
            <sz val="9"/>
            <color indexed="81"/>
            <rFont val="Tahoma"/>
            <family val="2"/>
          </rPr>
          <t xml:space="preserve">
</t>
        </r>
      </text>
    </comment>
    <comment ref="I15" authorId="0">
      <text>
        <r>
          <rPr>
            <b/>
            <sz val="9"/>
            <color indexed="81"/>
            <rFont val="Tahoma"/>
            <family val="2"/>
          </rPr>
          <t>admin:</t>
        </r>
        <r>
          <rPr>
            <sz val="9"/>
            <color indexed="81"/>
            <rFont val="Tahoma"/>
            <family val="2"/>
          </rPr>
          <t xml:space="preserve">
R$ 3.879,02 • Acerto de Contas 2015 (TAQ e GVT) - 57ª Reunião Plenária Ordinária/18ª Reunião Plenária Ampliada do CAU/BR</t>
        </r>
      </text>
    </comment>
    <comment ref="J15" authorId="0">
      <text>
        <r>
          <rPr>
            <b/>
            <sz val="9"/>
            <color indexed="81"/>
            <rFont val="Tahoma"/>
            <family val="2"/>
          </rPr>
          <t xml:space="preserve">Fundo de Apoio 
R$ </t>
        </r>
        <r>
          <rPr>
            <sz val="9"/>
            <color indexed="81"/>
            <rFont val="Tahoma"/>
            <family val="2"/>
          </rPr>
          <t>49.930,67</t>
        </r>
      </text>
    </comment>
    <comment ref="K15" authorId="0">
      <text>
        <r>
          <rPr>
            <b/>
            <sz val="9"/>
            <color indexed="81"/>
            <rFont val="Tahoma"/>
            <family val="2"/>
          </rPr>
          <t xml:space="preserve">Fundo de Apoio </t>
        </r>
        <r>
          <rPr>
            <sz val="9"/>
            <color indexed="81"/>
            <rFont val="Tahoma"/>
            <family val="2"/>
          </rPr>
          <t>- 
R$ 6.241,33</t>
        </r>
      </text>
    </comment>
    <comment ref="L15" authorId="0">
      <text>
        <r>
          <rPr>
            <b/>
            <sz val="9"/>
            <color indexed="81"/>
            <rFont val="Tahoma"/>
            <family val="2"/>
          </rPr>
          <t xml:space="preserve">Fundo de Apoio </t>
        </r>
        <r>
          <rPr>
            <sz val="9"/>
            <color indexed="81"/>
            <rFont val="Tahoma"/>
            <family val="2"/>
          </rPr>
          <t>- 
R$ 6.241,33</t>
        </r>
      </text>
    </comment>
    <comment ref="M15" authorId="0">
      <text>
        <r>
          <rPr>
            <b/>
            <sz val="9"/>
            <color indexed="81"/>
            <rFont val="Tahoma"/>
            <family val="2"/>
          </rPr>
          <t>Fundo de Apoio - 
R$ 6.241,33
R$ 6.241,37</t>
        </r>
      </text>
    </comment>
    <comment ref="B16" authorId="0">
      <text>
        <r>
          <rPr>
            <b/>
            <sz val="9"/>
            <color indexed="81"/>
            <rFont val="Tahoma"/>
            <family val="2"/>
          </rPr>
          <t>Fundo de Apoio - 
R$ 6.859,58</t>
        </r>
      </text>
    </comment>
    <comment ref="C16" authorId="0">
      <text>
        <r>
          <rPr>
            <b/>
            <sz val="9"/>
            <color indexed="81"/>
            <rFont val="Tahoma"/>
            <family val="2"/>
          </rPr>
          <t>Fundo de Apoio - 
R$ 6.859,58</t>
        </r>
      </text>
    </comment>
    <comment ref="F16" authorId="0">
      <text>
        <r>
          <rPr>
            <b/>
            <sz val="9"/>
            <color indexed="81"/>
            <rFont val="Tahoma"/>
            <family val="2"/>
          </rPr>
          <t>Fundo de Apoio - 
R$ 13.719,16</t>
        </r>
      </text>
    </comment>
    <comment ref="G16" authorId="1">
      <text>
        <r>
          <rPr>
            <b/>
            <sz val="9"/>
            <color indexed="81"/>
            <rFont val="Tahoma"/>
            <family val="2"/>
          </rPr>
          <t>Fundo de Apoio - 
R$ 6.859,58</t>
        </r>
      </text>
    </comment>
    <comment ref="H16" authorId="0">
      <text>
        <r>
          <rPr>
            <b/>
            <sz val="9"/>
            <color indexed="81"/>
            <rFont val="Tahoma"/>
            <family val="2"/>
          </rPr>
          <t>Fundo de Apoio - 
R$ 6.859,58</t>
        </r>
      </text>
    </comment>
    <comment ref="L16" authorId="0">
      <text>
        <r>
          <rPr>
            <b/>
            <sz val="9"/>
            <color indexed="81"/>
            <rFont val="Tahoma"/>
            <family val="2"/>
          </rPr>
          <t>Fundo de Apoio:
R$ 20.578,74</t>
        </r>
      </text>
    </comment>
    <comment ref="B17" authorId="2">
      <text>
        <r>
          <rPr>
            <b/>
            <sz val="9"/>
            <color indexed="81"/>
            <rFont val="Tahoma"/>
            <family val="2"/>
          </rPr>
          <t>Parcela 01/12 - Fundo de Apoio no valor de R$ 10.051,00</t>
        </r>
      </text>
    </comment>
    <comment ref="C17" authorId="2">
      <text>
        <r>
          <rPr>
            <b/>
            <sz val="9"/>
            <color indexed="81"/>
            <rFont val="Tahoma"/>
            <family val="2"/>
          </rPr>
          <t>Parcela 02/12 - Fundo de Apoio no valor de R$ 10.051,00</t>
        </r>
      </text>
    </comment>
    <comment ref="C21" authorId="0">
      <text>
        <r>
          <rPr>
            <sz val="9"/>
            <color indexed="81"/>
            <rFont val="Tahoma"/>
            <family val="2"/>
          </rPr>
          <t>Fundo de Apoio - R$ 10.075,22</t>
        </r>
      </text>
    </comment>
    <comment ref="E21" authorId="0">
      <text>
        <r>
          <rPr>
            <sz val="9"/>
            <color indexed="81"/>
            <rFont val="Tahoma"/>
            <family val="2"/>
          </rPr>
          <t>Fundo de Apoio R$ 10.075,22</t>
        </r>
      </text>
    </comment>
    <comment ref="F21" authorId="0">
      <text>
        <r>
          <rPr>
            <b/>
            <sz val="9"/>
            <color indexed="81"/>
            <rFont val="Tahoma"/>
            <family val="2"/>
          </rPr>
          <t xml:space="preserve">Fundo de Apoio R$ </t>
        </r>
        <r>
          <rPr>
            <sz val="9"/>
            <color indexed="81"/>
            <rFont val="Tahoma"/>
            <family val="2"/>
          </rPr>
          <t xml:space="preserve">
36.978,81</t>
        </r>
      </text>
    </comment>
    <comment ref="H21" authorId="0">
      <text>
        <r>
          <rPr>
            <b/>
            <sz val="9"/>
            <color indexed="81"/>
            <rFont val="Tahoma"/>
            <family val="2"/>
          </rPr>
          <t>fundo de Apoio R$</t>
        </r>
        <r>
          <rPr>
            <sz val="9"/>
            <color indexed="81"/>
            <rFont val="Tahoma"/>
            <family val="2"/>
          </rPr>
          <t xml:space="preserve">
19.043,08</t>
        </r>
      </text>
    </comment>
    <comment ref="I21" authorId="0">
      <text>
        <r>
          <rPr>
            <b/>
            <sz val="9"/>
            <color indexed="81"/>
            <rFont val="Tahoma"/>
            <family val="2"/>
          </rPr>
          <t>Fundo de Apoio R$</t>
        </r>
        <r>
          <rPr>
            <sz val="9"/>
            <color indexed="81"/>
            <rFont val="Tahoma"/>
            <family val="2"/>
          </rPr>
          <t xml:space="preserve">
38.086,16</t>
        </r>
      </text>
    </comment>
    <comment ref="K21" authorId="0">
      <text>
        <r>
          <rPr>
            <sz val="9"/>
            <color indexed="81"/>
            <rFont val="Tahoma"/>
            <family val="2"/>
          </rPr>
          <t xml:space="preserve">Fundo de Apoio
R$ 57.129,24 </t>
        </r>
      </text>
    </comment>
    <comment ref="M21" authorId="0">
      <text>
        <r>
          <rPr>
            <b/>
            <sz val="9"/>
            <color indexed="81"/>
            <rFont val="Tahoma"/>
            <family val="2"/>
          </rPr>
          <t>Fundo de Apoio R$</t>
        </r>
        <r>
          <rPr>
            <sz val="9"/>
            <color indexed="81"/>
            <rFont val="Tahoma"/>
            <family val="2"/>
          </rPr>
          <t xml:space="preserve">
38.086,16</t>
        </r>
      </text>
    </comment>
    <comment ref="C22" authorId="0">
      <text>
        <r>
          <rPr>
            <b/>
            <sz val="9"/>
            <color indexed="81"/>
            <rFont val="Tahoma"/>
            <family val="2"/>
          </rPr>
          <t>Fundo de Apoio R$ 250,11
Saldo de 2014</t>
        </r>
        <r>
          <rPr>
            <sz val="9"/>
            <color indexed="81"/>
            <rFont val="Tahoma"/>
            <family val="2"/>
          </rPr>
          <t xml:space="preserve">
</t>
        </r>
      </text>
    </comment>
  </commentList>
</comments>
</file>

<file path=xl/comments3.xml><?xml version="1.0" encoding="utf-8"?>
<comments xmlns="http://schemas.openxmlformats.org/spreadsheetml/2006/main">
  <authors>
    <author>admin</author>
    <author>Rodrigo</author>
  </authors>
  <commentList>
    <comment ref="K13" authorId="0">
      <text>
        <r>
          <rPr>
            <b/>
            <sz val="9"/>
            <color indexed="81"/>
            <rFont val="Tahoma"/>
            <family val="2"/>
          </rPr>
          <t>admin:</t>
        </r>
        <r>
          <rPr>
            <sz val="9"/>
            <color indexed="81"/>
            <rFont val="Tahoma"/>
            <family val="2"/>
          </rPr>
          <t xml:space="preserve">
Aquisição da Sede R$ 520.000,00</t>
        </r>
      </text>
    </comment>
    <comment ref="M14" authorId="0">
      <text>
        <r>
          <rPr>
            <b/>
            <sz val="9"/>
            <color indexed="81"/>
            <rFont val="Tahoma"/>
            <family val="2"/>
          </rPr>
          <t>admin:</t>
        </r>
        <r>
          <rPr>
            <sz val="9"/>
            <color indexed="81"/>
            <rFont val="Tahoma"/>
            <family val="2"/>
          </rPr>
          <t xml:space="preserve">
33.120,00 -  Convénio IAB
Sou Arquiteto, e agora ?
Prêmio TFG</t>
        </r>
      </text>
    </comment>
    <comment ref="L15" authorId="0">
      <text>
        <r>
          <rPr>
            <b/>
            <sz val="9"/>
            <color indexed="81"/>
            <rFont val="Tahoma"/>
            <family val="2"/>
          </rPr>
          <t>admin:</t>
        </r>
        <r>
          <rPr>
            <sz val="9"/>
            <color indexed="81"/>
            <rFont val="Tahoma"/>
            <family val="2"/>
          </rPr>
          <t xml:space="preserve">
Aquisição de equipamentos de SOM auditório - R$ 7.540,00</t>
        </r>
      </text>
    </comment>
    <comment ref="E24" authorId="1">
      <text>
        <r>
          <rPr>
            <sz val="9"/>
            <color indexed="81"/>
            <rFont val="Tahoma"/>
            <family val="2"/>
          </rPr>
          <t xml:space="preserve">Aquisição de 10 mesas dobráveis em PVC -Auditório
</t>
        </r>
      </text>
    </comment>
    <comment ref="F24" authorId="1">
      <text>
        <r>
          <rPr>
            <sz val="9"/>
            <color indexed="81"/>
            <rFont val="Tahoma"/>
            <family val="2"/>
          </rPr>
          <t xml:space="preserve">
Aquisição TV sala de reunião
</t>
        </r>
      </text>
    </comment>
    <comment ref="M24" authorId="1">
      <text>
        <r>
          <rPr>
            <sz val="9"/>
            <color indexed="81"/>
            <rFont val="Tahoma"/>
            <family val="2"/>
          </rPr>
          <t>Aquisição de 02 Notebook</t>
        </r>
      </text>
    </comment>
  </commentList>
</comments>
</file>

<file path=xl/comments4.xml><?xml version="1.0" encoding="utf-8"?>
<comments xmlns="http://schemas.openxmlformats.org/spreadsheetml/2006/main">
  <authors>
    <author>Tania Mara Chaves Daldegan</author>
  </authors>
  <commentList>
    <comment ref="H20" authorId="0">
      <text>
        <r>
          <rPr>
            <b/>
            <sz val="12"/>
            <color indexed="81"/>
            <rFont val="Segoe UI"/>
            <family val="2"/>
          </rPr>
          <t xml:space="preserve">Despesas com Pessoal= A- B
</t>
        </r>
        <r>
          <rPr>
            <sz val="9"/>
            <color indexed="81"/>
            <rFont val="Segoe UI"/>
            <family val="2"/>
          </rPr>
          <t xml:space="preserve">
</t>
        </r>
      </text>
    </comment>
  </commentList>
</comments>
</file>

<file path=xl/sharedStrings.xml><?xml version="1.0" encoding="utf-8"?>
<sst xmlns="http://schemas.openxmlformats.org/spreadsheetml/2006/main" count="496" uniqueCount="257">
  <si>
    <t>Unidade Organizacional/Comissão</t>
  </si>
  <si>
    <t>Projeto/Atividade</t>
  </si>
  <si>
    <t>P/A</t>
  </si>
  <si>
    <t>Denominação</t>
  </si>
  <si>
    <t>Previstas</t>
  </si>
  <si>
    <t xml:space="preserve">Metas </t>
  </si>
  <si>
    <t xml:space="preserve">Resultados </t>
  </si>
  <si>
    <t>Realizadas</t>
  </si>
  <si>
    <t>Previstos</t>
  </si>
  <si>
    <t>Alcançados no Período</t>
  </si>
  <si>
    <t>% de Realização</t>
  </si>
  <si>
    <t>TOTAL</t>
  </si>
  <si>
    <t>Especificação</t>
  </si>
  <si>
    <t>1.1 Receitas de Arrecadação</t>
  </si>
  <si>
    <t>1.1.1 Anuidades</t>
  </si>
  <si>
    <t xml:space="preserve"> - Pessoa Física</t>
  </si>
  <si>
    <t xml:space="preserve"> - Pessoa Jurídica</t>
  </si>
  <si>
    <t xml:space="preserve"> - Multas e Taxas</t>
  </si>
  <si>
    <t>1.1.2 RRT</t>
  </si>
  <si>
    <t>2.1 Receitas de Exercícios Anteriores</t>
  </si>
  <si>
    <t>1. Receitas Correntes</t>
  </si>
  <si>
    <t>2. Receitas de Capital</t>
  </si>
  <si>
    <t>RECEITAS TOTAIS</t>
  </si>
  <si>
    <t>1. Programação Operacional</t>
  </si>
  <si>
    <t>Projetos</t>
  </si>
  <si>
    <t>Atividades</t>
  </si>
  <si>
    <t>1.1 Despesas Correntes</t>
  </si>
  <si>
    <t>1.2 Despesas de Capital</t>
  </si>
  <si>
    <t>2. Aportes ao Fundo de Apoio Financeiro aos CAU/UF</t>
  </si>
  <si>
    <t>USOS TOTAIS</t>
  </si>
  <si>
    <t xml:space="preserve"> I -FONTES</t>
  </si>
  <si>
    <t>II - USOS</t>
  </si>
  <si>
    <t>VARIAÇÃO (I - II)</t>
  </si>
  <si>
    <r>
      <rPr>
        <b/>
        <sz val="11"/>
        <color theme="1"/>
        <rFont val="Calibri"/>
        <family val="2"/>
        <scheme val="minor"/>
      </rPr>
      <t>Legenda</t>
    </r>
    <r>
      <rPr>
        <sz val="11"/>
        <color theme="1"/>
        <rFont val="Calibri"/>
        <family val="2"/>
        <scheme val="minor"/>
      </rPr>
      <t>: P=Projeto; A=Atividade</t>
    </r>
  </si>
  <si>
    <t>Justificativas (quando o % de realização for inferior ou superior a 20%)</t>
  </si>
  <si>
    <t>Orçamento Aprovado (R$)</t>
  </si>
  <si>
    <t>Realizações (R$)</t>
  </si>
  <si>
    <t>1.2 Fundo de Apoio</t>
  </si>
  <si>
    <t>1.3 Demais Receitas Correntes</t>
  </si>
  <si>
    <t>1.3.1 Aplicações Financeiras</t>
  </si>
  <si>
    <t>1.3.2 Outras Receitas</t>
  </si>
  <si>
    <t>Justificativas e/ou medidas de gestão adotadas para o alcance dos resultados previstos</t>
  </si>
  <si>
    <t>FP</t>
  </si>
  <si>
    <t>P</t>
  </si>
  <si>
    <t>A</t>
  </si>
  <si>
    <t>Responsável pela Análise:</t>
  </si>
  <si>
    <t>Data da Análise:</t>
  </si>
  <si>
    <t>Valor Total             (a)</t>
  </si>
  <si>
    <t>Valor do Fundo de Apoio                    (b)</t>
  </si>
  <si>
    <t>% de Partic. do Fundo sobre a Progr. Total                 (c)</t>
  </si>
  <si>
    <t>Total Realizado (d)</t>
  </si>
  <si>
    <t>Total                              (f= d/a*100)</t>
  </si>
  <si>
    <t>Fundo de Apoio      (g=e/b*100)</t>
  </si>
  <si>
    <t xml:space="preserve"> -</t>
  </si>
  <si>
    <t>Data de Análise:</t>
  </si>
  <si>
    <t>Valor da Partic. do Fundo de Apoio         (% aprovado)               (e=d*c)</t>
  </si>
  <si>
    <t>Unidade Organizacional/   Comissão</t>
  </si>
  <si>
    <t>COMENTÁRIOS FINAIS DO RESPONSÁVEL PELA ANÁLISE:</t>
  </si>
  <si>
    <t xml:space="preserve">DATA: </t>
  </si>
  <si>
    <t>ASSINATURA DO RESPONSÁVEL PELA ANÁLISE:</t>
  </si>
  <si>
    <t>ASSINATURA DA COMISSÃO:</t>
  </si>
  <si>
    <t>2. DEMONSTRATIVO DA EXECUÇÃO DO PLANO DE AÇÃO POR PROJETO E ATIVIDADE</t>
  </si>
  <si>
    <t>3. DEMONSTRATIVO DA EXECUÇÃO ORÇAMENTÁRIA POR PROJETO E ATIVIDADE</t>
  </si>
  <si>
    <t>COMENTÁRIO                                 (form.3):</t>
  </si>
  <si>
    <t>EXECUÇÃO DO PLANO DE AÇÃO E ORÇAMENTO - EXERCÍCIO 2014</t>
  </si>
  <si>
    <t>CAU/AL</t>
  </si>
  <si>
    <r>
      <rPr>
        <b/>
        <sz val="10"/>
        <color theme="1"/>
        <rFont val="Arial"/>
        <family val="2"/>
      </rPr>
      <t>Legenda</t>
    </r>
    <r>
      <rPr>
        <sz val="10"/>
        <color theme="1"/>
        <rFont val="Arial"/>
        <family val="2"/>
      </rPr>
      <t>: P=Projeto; A=Atividade; FP=Fundo de Apoio</t>
    </r>
  </si>
  <si>
    <t>3. Centro de Serviços Compartilhados - CSC</t>
  </si>
  <si>
    <t>-</t>
  </si>
  <si>
    <t>4. Reserva de Contingência</t>
  </si>
  <si>
    <t xml:space="preserve">Comissão Exercício Profissional - CEP </t>
  </si>
  <si>
    <t>Comissão de Ensino e Formação - CEF</t>
  </si>
  <si>
    <t>Presidência</t>
  </si>
  <si>
    <t>Caravana CAU</t>
  </si>
  <si>
    <t>Cauniversitário</t>
  </si>
  <si>
    <t>Ações de suprimento a demanda de deslocamento de pessoal</t>
  </si>
  <si>
    <t>Capacitação</t>
  </si>
  <si>
    <t>Comunicação - plano de mídia</t>
  </si>
  <si>
    <t>Patrocínio</t>
  </si>
  <si>
    <t>Fiscalização sistemática</t>
  </si>
  <si>
    <t xml:space="preserve">Ampliação das instalações da sede </t>
  </si>
  <si>
    <t>Aporte ao centro de serviços compartilhados - CSC</t>
  </si>
  <si>
    <t>Contribuição ao fundo nacional de apoio aos CAU/CAUFS</t>
  </si>
  <si>
    <t>Reserva de contigência</t>
  </si>
  <si>
    <t>TOTAL DESPESAS CORRENTES</t>
  </si>
  <si>
    <t>TOTAL DESPESAS DE CAPITAL</t>
  </si>
  <si>
    <t>TOTAL DAS DESPESAS</t>
  </si>
  <si>
    <t>% de Partic. sobre o realizado
(d)</t>
  </si>
  <si>
    <t>% de Partic. sobre o Prog. Total
(d)</t>
  </si>
  <si>
    <t>Período: Jan. a Jun./2015</t>
  </si>
  <si>
    <t>EXECUÇÃO DO PLANO DE AÇÃO E ORÇAMENTO - EXERCÍCIO 2016</t>
  </si>
  <si>
    <t>sou arquiteto, e agora?</t>
  </si>
  <si>
    <t>Dia do Arquiteto
(Prêmio TFG)</t>
  </si>
  <si>
    <t>Residência Técnica</t>
  </si>
  <si>
    <t>Programa de Formação continuada</t>
  </si>
  <si>
    <t>Atendimento</t>
  </si>
  <si>
    <t>Manutenção das rotinas administrativas do CAU/AL</t>
  </si>
  <si>
    <t>Planejameno e redesenho dos processos do CAU/AL</t>
  </si>
  <si>
    <t>Comissão de Administração e Finanças - CAF</t>
  </si>
  <si>
    <t>PARECER DA COMISSÃO DE ADMINISTRAÇÃO E FINANÇAS:</t>
  </si>
  <si>
    <t>Período: Jan. a Mar/2016</t>
  </si>
  <si>
    <t>Variação
(valores em reais)</t>
  </si>
  <si>
    <t>%</t>
  </si>
  <si>
    <t>%
Part.</t>
  </si>
  <si>
    <t>%
Execução Total</t>
  </si>
  <si>
    <t>Saldo a Executar
Total</t>
  </si>
  <si>
    <t>Variação
(%)</t>
  </si>
  <si>
    <t>JAN</t>
  </si>
  <si>
    <t>FEV</t>
  </si>
  <si>
    <t>MAR</t>
  </si>
  <si>
    <t>ABR</t>
  </si>
  <si>
    <t>MAI</t>
  </si>
  <si>
    <t>JUN</t>
  </si>
  <si>
    <t>JUL</t>
  </si>
  <si>
    <t>ANO</t>
  </si>
  <si>
    <t>AGO</t>
  </si>
  <si>
    <t>SET</t>
  </si>
  <si>
    <t>OUT</t>
  </si>
  <si>
    <t>NOV</t>
  </si>
  <si>
    <t>DEZ</t>
  </si>
  <si>
    <t xml:space="preserve">1. DEMONSTRATIVO DE USOS E FONTES </t>
  </si>
  <si>
    <t>1.3. DEMONSTRATIVO DA EXECUÇÃO ORÇAMENTÁRIA POR PROJETO E ATIVIDADE</t>
  </si>
  <si>
    <t>*P/A - P = Projeto / A = Atividade</t>
  </si>
  <si>
    <t>*P/A</t>
  </si>
  <si>
    <t>Receita Corrente (+)</t>
  </si>
  <si>
    <t>Despesa Corrente (-)</t>
  </si>
  <si>
    <t>TOTAL
(Receita - Despesa)</t>
  </si>
  <si>
    <t>1.5. DEMONSTRATIVO DA EXECUÇÃO DA DESPESA MÊS X MÊS</t>
  </si>
  <si>
    <t>1.6. DEMONSTRATIVO DA DISPONIBILIZADE FINANCEIRA</t>
  </si>
  <si>
    <t>1.4. DEMONSTRATIVO DA EXECUÇÃO DA RECEITA MÊS X MÊS</t>
  </si>
  <si>
    <t>% de Partic. sobre a Progr. Total
(b)</t>
  </si>
  <si>
    <t>Total Realizado
(c)</t>
  </si>
  <si>
    <t>Valor aprovado
(a)</t>
  </si>
  <si>
    <t>BASE DE CÁLCULO</t>
  </si>
  <si>
    <t>APLICAÇÕES DE RECURSOS</t>
  </si>
  <si>
    <t>Valor Aprovado (R$)</t>
  </si>
  <si>
    <t xml:space="preserve">Valor Executado  (R$)             </t>
  </si>
  <si>
    <t>Execução (%)</t>
  </si>
  <si>
    <t xml:space="preserve">FOLHA DE PAGAMENTO </t>
  </si>
  <si>
    <t xml:space="preserve">Valor Executado (R$)                      </t>
  </si>
  <si>
    <t>1. Receita de Arrecadação</t>
  </si>
  <si>
    <t>A. Salários e Encargos (Valores totais)</t>
  </si>
  <si>
    <t>2. Recursos do fundo de apoio (CAU Básico)</t>
  </si>
  <si>
    <t>B. Valor total das rescisões contratuais, auxílio alimentação, auxílio transporte, plano de saúde e demais benefícios.</t>
  </si>
  <si>
    <t>3. Soma (1+2)</t>
  </si>
  <si>
    <t>C. Receitas Correntes</t>
  </si>
  <si>
    <t>4. Aportes ao Fundo de Apoio</t>
  </si>
  <si>
    <t>5. Aportes ao CSC + Fundo de Reserva do CSC</t>
  </si>
  <si>
    <t>6.  Receita da Arrecadação Líquida (RAL = 3 -4 - 5)</t>
  </si>
  <si>
    <t>BASE DE CÁLCULO (Item 6)</t>
  </si>
  <si>
    <t>LIMITES</t>
  </si>
  <si>
    <t xml:space="preserve">Aprovado </t>
  </si>
  <si>
    <t xml:space="preserve">Executado             </t>
  </si>
  <si>
    <t>Aprovado</t>
  </si>
  <si>
    <t xml:space="preserve">Executado                       </t>
  </si>
  <si>
    <r>
      <t xml:space="preserve">Fiscalização </t>
    </r>
    <r>
      <rPr>
        <b/>
        <sz val="12"/>
        <color indexed="21"/>
        <rFont val="Calibri"/>
        <family val="2"/>
      </rPr>
      <t xml:space="preserve">(mínimo de 20 % do total da RAL)      </t>
    </r>
    <r>
      <rPr>
        <b/>
        <sz val="12"/>
        <color indexed="10"/>
        <rFont val="Calibri"/>
        <family val="2"/>
      </rPr>
      <t xml:space="preserve">  </t>
    </r>
    <r>
      <rPr>
        <b/>
        <sz val="12"/>
        <color indexed="8"/>
        <rFont val="Calibri"/>
        <family val="2"/>
      </rPr>
      <t xml:space="preserve">                                                                     </t>
    </r>
  </si>
  <si>
    <t>Valor</t>
  </si>
  <si>
    <t xml:space="preserve">% </t>
  </si>
  <si>
    <r>
      <t xml:space="preserve">Atendimento </t>
    </r>
    <r>
      <rPr>
        <b/>
        <sz val="12"/>
        <color indexed="21"/>
        <rFont val="Calibri"/>
        <family val="2"/>
      </rPr>
      <t>(mínimo de 10 % do total da RAL)</t>
    </r>
  </si>
  <si>
    <r>
      <t>Comunicação</t>
    </r>
    <r>
      <rPr>
        <b/>
        <sz val="12"/>
        <color indexed="21"/>
        <rFont val="Calibri"/>
        <family val="2"/>
      </rPr>
      <t xml:space="preserve"> </t>
    </r>
    <r>
      <rPr>
        <b/>
        <sz val="12"/>
        <color indexed="21"/>
        <rFont val="Calibri"/>
        <family val="2"/>
      </rPr>
      <t xml:space="preserve">(mínimo de 3% do total da RAL)             </t>
    </r>
    <r>
      <rPr>
        <b/>
        <sz val="12"/>
        <color indexed="57"/>
        <rFont val="Calibri"/>
        <family val="2"/>
      </rPr>
      <t xml:space="preserve">                                                                                </t>
    </r>
  </si>
  <si>
    <r>
      <t>Patrocínio</t>
    </r>
    <r>
      <rPr>
        <b/>
        <sz val="12"/>
        <color indexed="21"/>
        <rFont val="Calibri"/>
        <family val="2"/>
      </rPr>
      <t xml:space="preserve"> </t>
    </r>
    <r>
      <rPr>
        <b/>
        <sz val="12"/>
        <color indexed="21"/>
        <rFont val="Calibri"/>
        <family val="2"/>
      </rPr>
      <t xml:space="preserve">(máximo de 5% do total da RAL)   </t>
    </r>
    <r>
      <rPr>
        <b/>
        <sz val="12"/>
        <color indexed="10"/>
        <rFont val="Calibri"/>
        <family val="2"/>
      </rPr>
      <t xml:space="preserve">      </t>
    </r>
    <r>
      <rPr>
        <b/>
        <sz val="12"/>
        <color indexed="8"/>
        <rFont val="Calibri"/>
        <family val="2"/>
      </rPr>
      <t xml:space="preserve">                                                                            </t>
    </r>
  </si>
  <si>
    <r>
      <t xml:space="preserve">Objetivos Estratégicos Locais             </t>
    </r>
    <r>
      <rPr>
        <b/>
        <sz val="12"/>
        <color indexed="21"/>
        <rFont val="Calibri"/>
        <family val="2"/>
      </rPr>
      <t xml:space="preserve">  </t>
    </r>
    <r>
      <rPr>
        <b/>
        <sz val="12"/>
        <color indexed="21"/>
        <rFont val="Calibri"/>
        <family val="2"/>
      </rPr>
      <t xml:space="preserve">(mínimo de 6 % do total da RAL)                         </t>
    </r>
  </si>
  <si>
    <r>
      <t xml:space="preserve">Reserva de Contingência                          </t>
    </r>
    <r>
      <rPr>
        <b/>
        <sz val="12"/>
        <color indexed="21"/>
        <rFont val="Calibri"/>
        <family val="2"/>
      </rPr>
      <t xml:space="preserve">(até 2 % do total da RAL)              </t>
    </r>
  </si>
  <si>
    <t>Reserva de contingência</t>
  </si>
  <si>
    <t>1.7. LIMITES DE APLICAÇÃO DOS RECURSOS ESTRATÉGICOS:</t>
  </si>
  <si>
    <t>1.9. Parecer da Comissão de Administração e Finanças</t>
  </si>
  <si>
    <t>Gasto Mensal de todos os centros de custo - fase Pagamento</t>
  </si>
  <si>
    <r>
      <t xml:space="preserve"> Despesas com Pessoal </t>
    </r>
    <r>
      <rPr>
        <b/>
        <sz val="10"/>
        <color indexed="57"/>
        <rFont val="Calibri"/>
        <family val="2"/>
      </rPr>
      <t>(máximo de 55% sobre as Receitas Correntes. Não considerar despesas decorrentes de rescisões contratuais, auxílio alimentação, auxílio transporte, plano de saúde e demais benefícios)</t>
    </r>
  </si>
  <si>
    <r>
      <t>Capacitação</t>
    </r>
    <r>
      <rPr>
        <b/>
        <sz val="12"/>
        <color indexed="10"/>
        <rFont val="Calibri"/>
        <family val="2"/>
      </rPr>
      <t xml:space="preserve"> </t>
    </r>
    <r>
      <rPr>
        <b/>
        <sz val="11"/>
        <color indexed="57"/>
        <rFont val="Calibri"/>
        <family val="2"/>
      </rPr>
      <t xml:space="preserve">(mínimo de 2%  e máximo de 4%  do valor total das respectivas folhas de pagamento -salários, encargos e benefícios)            </t>
    </r>
    <r>
      <rPr>
        <b/>
        <sz val="12"/>
        <color indexed="57"/>
        <rFont val="Calibri"/>
        <family val="2"/>
      </rPr>
      <t xml:space="preserve">      </t>
    </r>
  </si>
  <si>
    <t>Receita mensal - Janeiro a Dezembro</t>
  </si>
  <si>
    <t>DESPESAS FIXAS</t>
  </si>
  <si>
    <t>SR LOCADORA (ALUGUEL CARRO)</t>
  </si>
  <si>
    <t>LESSA E MOURA (CONTABILIDADE)</t>
  </si>
  <si>
    <t>OFICIAL TERCEIRIZAÇÃO (LIMPEZA)</t>
  </si>
  <si>
    <t>CIEE (INTERMEDIAÇÃO DE ESTAGIÁRIOS)</t>
  </si>
  <si>
    <t>CLARO (TELEFONE MÓVEL)</t>
  </si>
  <si>
    <t>ELETROBRAS (NORCON )</t>
  </si>
  <si>
    <t>CENTRO SERV. COMP. - CSC</t>
  </si>
  <si>
    <t>FUNDO DE APOIO</t>
  </si>
  <si>
    <t>CORREIOS (CORRESPONDÊNCIA)</t>
  </si>
  <si>
    <t>DARF (CORREIOS)</t>
  </si>
  <si>
    <t>FOLHA DE PESSOAL</t>
  </si>
  <si>
    <t>13º SALÁRIO</t>
  </si>
  <si>
    <t>ESTAGIÁRIO</t>
  </si>
  <si>
    <t>INSS</t>
  </si>
  <si>
    <t>FGTS</t>
  </si>
  <si>
    <t>PIS</t>
  </si>
  <si>
    <t>IRRF</t>
  </si>
  <si>
    <t>M A DOS ANJOS (LOCAÇÃO IMPRESSORAS)</t>
  </si>
  <si>
    <t>BANCO DO BRASIL S/A (TAXAS BANCÁRIAS)</t>
  </si>
  <si>
    <t>SUPRIMENTOS DE FUNDOS</t>
  </si>
  <si>
    <t>CAROLINE OLIVEIRA (ESTACIONAMENTO)</t>
  </si>
  <si>
    <t>CARMEN BEATRIZ (ASSESSORIA DE IMPRESA)</t>
  </si>
  <si>
    <t>TOTAL DA DESPESAS FIXAS:</t>
  </si>
  <si>
    <t>DESPESAS VARIÁVEIS</t>
  </si>
  <si>
    <t>TOTAL DESPESAS VARIÁVEIS:</t>
  </si>
  <si>
    <t>DESPESAS DE CAPITAL</t>
  </si>
  <si>
    <t>TOTAL DESPESAS DE CAPITAL:</t>
  </si>
  <si>
    <t>TOTAL GERAL:</t>
  </si>
  <si>
    <t>Orçamento 
Aprovado 2017</t>
  </si>
  <si>
    <t xml:space="preserve"> </t>
  </si>
  <si>
    <t>2017</t>
  </si>
  <si>
    <t>Assistência Técnica em Habitação de Interesse Social - ATHIS</t>
  </si>
  <si>
    <t>% 
Ano/
Ano</t>
  </si>
  <si>
    <r>
      <t xml:space="preserve">Justificativas
</t>
    </r>
    <r>
      <rPr>
        <b/>
        <sz val="8"/>
        <color theme="1"/>
        <rFont val="Calibri"/>
        <family val="2"/>
        <scheme val="minor"/>
      </rPr>
      <t>(quando o % de realização for inferior ou superior a 20%)</t>
    </r>
  </si>
  <si>
    <t>ALVES E BARROS (JURÍDICO)</t>
  </si>
  <si>
    <t xml:space="preserve">CONDOMÍNIO NORCON </t>
  </si>
  <si>
    <t>Dia do Arquiteto (Prêmio TFG)</t>
  </si>
  <si>
    <t>Ressarcimento - SICCAU</t>
  </si>
  <si>
    <t>Outras despesas</t>
  </si>
  <si>
    <t>COMBUSTIVEL</t>
  </si>
  <si>
    <t xml:space="preserve">FUNDO DE RESERVA CSC </t>
  </si>
  <si>
    <t>RESSARCIMENTO ANUIDADE</t>
  </si>
  <si>
    <t>RESSARCIMENTO RRT</t>
  </si>
  <si>
    <t>FÉRIAS</t>
  </si>
  <si>
    <t>Diárias</t>
  </si>
  <si>
    <t>Conselheiros</t>
  </si>
  <si>
    <t>Funcionários</t>
  </si>
  <si>
    <t>Fiscalização</t>
  </si>
  <si>
    <t>Convidados</t>
  </si>
  <si>
    <t>Passagens - LYSTURISMO VIAGENS</t>
  </si>
  <si>
    <t>VELOO INTERNET</t>
  </si>
  <si>
    <r>
      <t xml:space="preserve">Receita mensal - Janeiro a Dezembro - </t>
    </r>
    <r>
      <rPr>
        <b/>
        <u/>
        <sz val="16"/>
        <color rgb="FFFF0000"/>
        <rFont val="Calibri"/>
        <family val="2"/>
        <scheme val="minor"/>
      </rPr>
      <t>Sem aporte</t>
    </r>
    <r>
      <rPr>
        <b/>
        <sz val="16"/>
        <rFont val="Calibri"/>
        <family val="2"/>
        <scheme val="minor"/>
      </rPr>
      <t xml:space="preserve"> CAU/BR (Fundo de apoio)</t>
    </r>
  </si>
  <si>
    <t xml:space="preserve"> - Pessoa Jurídica do exercício anterior</t>
  </si>
  <si>
    <t xml:space="preserve"> - Pessoa Física do exercício anterior</t>
  </si>
  <si>
    <t>SINCOAL</t>
  </si>
  <si>
    <t>JOSE RODRIGO LOPES PEDRO (RESSARCIMENTO)</t>
  </si>
  <si>
    <t>Relatório Mensal – Exercício 2018</t>
  </si>
  <si>
    <t>Orçamento Aprovado
2018</t>
  </si>
  <si>
    <t>Realizado
2018</t>
  </si>
  <si>
    <t>1.2. Comparativo exercício anterior x atual (2017 x 2018)</t>
  </si>
  <si>
    <t>Orçamento 
Aprovado 2018</t>
  </si>
  <si>
    <t>2018</t>
  </si>
  <si>
    <r>
      <t xml:space="preserve">Gasto Mensal de todos os centros de custo - fase Pagamento - </t>
    </r>
    <r>
      <rPr>
        <b/>
        <sz val="16"/>
        <color rgb="FFFF0000"/>
        <rFont val="Calibri"/>
        <family val="2"/>
        <scheme val="minor"/>
      </rPr>
      <t>Sem a compra de equipametos e/ou reforma sede</t>
    </r>
  </si>
  <si>
    <t>VIVO (TELEFONE FIXO)</t>
  </si>
  <si>
    <t xml:space="preserve">Manutenção das instalações da sede </t>
  </si>
  <si>
    <t>Aporte ao centro de serviços compartilhados - CSC - Fiscalização</t>
  </si>
  <si>
    <t>Aporte ao centro de serviços compartilhados - CSC - Atendimento</t>
  </si>
  <si>
    <r>
      <rPr>
        <b/>
        <sz val="11"/>
        <color theme="1"/>
        <rFont val="Calibri"/>
        <family val="2"/>
        <scheme val="minor"/>
      </rPr>
      <t>José Rodrigo Lopes Pedro</t>
    </r>
    <r>
      <rPr>
        <sz val="11"/>
        <color theme="1"/>
        <rFont val="Calibri"/>
        <family val="2"/>
        <scheme val="minor"/>
      </rPr>
      <t xml:space="preserve">
Gerente Administrativo e Financeiro</t>
    </r>
  </si>
  <si>
    <t>MATERIAL DE EXPEDIENTE</t>
  </si>
  <si>
    <t>NORLAN DOWELL VALE DE BRITO (RESSARCIMENTO)</t>
  </si>
  <si>
    <t>SOTEL HOTELARIA</t>
  </si>
  <si>
    <t>AB SERVIÇOS EM AR CONDICIONADO EIRELI - EPP</t>
  </si>
  <si>
    <t>GRÁFICA E EDITORA MASCARENHAS</t>
  </si>
  <si>
    <t>PERFORMACE SERVIÇOS EM RECNOLOGIA LTDA ME</t>
  </si>
  <si>
    <t>DANIELLY AGUIAR DE LIMA</t>
  </si>
  <si>
    <t>Realizado até Mar/2018</t>
  </si>
  <si>
    <t>Realizado até Mar/2017</t>
  </si>
  <si>
    <t>Período: 02/01/2018 a 31/03/2018</t>
  </si>
  <si>
    <t>Período
01 a 03/2017</t>
  </si>
  <si>
    <t>Período
01 a 03/2018</t>
  </si>
  <si>
    <r>
      <t xml:space="preserve">DATA DE ELABORAÇÃO: </t>
    </r>
    <r>
      <rPr>
        <sz val="16"/>
        <color theme="1"/>
        <rFont val="Calibri"/>
        <family val="2"/>
        <scheme val="minor"/>
      </rPr>
      <t xml:space="preserve"> 11/04/2018</t>
    </r>
  </si>
  <si>
    <t>Devido a mudanças tarifárias ocorridas em 2018 no Banco do Brasil, tivemos um aumento do valor pago referente as despesas com taxas bancárias. Após negociação, ficou acordado que teremos redução de tarifas até a compensação dos valores pagos a maior.  
O valor apurado pelo banco do brasil foi de R$ R$ 15.636,78 que será ressarcido na totalidade ao CAU/AL, sendo monitorado mensalmente.
A forma de compensação dos valores será através de redução das tarifas de liquidação que hoje o valor pago é de R$ 2,10 passará a ser pago o valor de R$ 1,00.</t>
  </si>
  <si>
    <r>
      <rPr>
        <b/>
        <sz val="11"/>
        <color theme="1"/>
        <rFont val="Calibri"/>
        <family val="2"/>
        <scheme val="minor"/>
      </rPr>
      <t>Edgar do Nascimento Fillho</t>
    </r>
    <r>
      <rPr>
        <sz val="11"/>
        <color theme="1"/>
        <rFont val="Calibri"/>
        <family val="2"/>
        <scheme val="minor"/>
      </rPr>
      <t xml:space="preserve">
Coordenador da CAF-CAU/AL</t>
    </r>
  </si>
  <si>
    <t xml:space="preserve">O coordenador sugeriu o acompanhamento da receita do CAU/AL a cada 15 dias, para que tenhamos uma melhor análise da situação financeira. </t>
  </si>
  <si>
    <r>
      <t xml:space="preserve">RESPONSÁVEL PELA ELABORAÇÃO:  </t>
    </r>
    <r>
      <rPr>
        <sz val="16"/>
        <color theme="1"/>
        <rFont val="Calibri"/>
        <family val="2"/>
        <scheme val="minor"/>
      </rPr>
      <t>José Rodrigo Lopes - Gerente Adm e Financeiro</t>
    </r>
  </si>
  <si>
    <t>DESPESAS GERAIS DO CAU/AL  -  2018 - Analítica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</si>
</sst>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64" formatCode="0.0"/>
    <numFmt numFmtId="165" formatCode="0.0%"/>
    <numFmt numFmtId="166" formatCode="_-* #,##0_-;\-* #,##0_-;_-* &quot;-&quot;??_-;_-@_-"/>
    <numFmt numFmtId="167" formatCode="#,##0_ ;\-#,##0\ "/>
    <numFmt numFmtId="168" formatCode="_(&quot;$&quot;* #,##0.00_);_(&quot;$&quot;* \(#,##0.00\);_(&quot;$&quot;* &quot;-&quot;??_);_(@_)"/>
  </numFmts>
  <fonts count="54"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9"/>
      <name val="Arial"/>
      <family val="2"/>
    </font>
    <font>
      <sz val="9"/>
      <name val="Arial"/>
      <family val="2"/>
    </font>
    <font>
      <sz val="10"/>
      <color theme="1"/>
      <name val="Arial"/>
      <family val="2"/>
    </font>
    <font>
      <b/>
      <sz val="10"/>
      <color theme="1"/>
      <name val="Arial"/>
      <family val="2"/>
    </font>
    <font>
      <b/>
      <sz val="10"/>
      <name val="Arial"/>
      <family val="2"/>
    </font>
    <font>
      <sz val="10"/>
      <name val="Arial"/>
      <family val="2"/>
    </font>
    <font>
      <b/>
      <i/>
      <sz val="12"/>
      <color rgb="FF000000"/>
      <name val="Arial"/>
      <family val="2"/>
    </font>
    <font>
      <sz val="12"/>
      <color rgb="FF000000"/>
      <name val="Arial"/>
      <family val="2"/>
    </font>
    <font>
      <b/>
      <sz val="12"/>
      <color rgb="FF000000"/>
      <name val="Arial"/>
      <family val="2"/>
    </font>
    <font>
      <sz val="9"/>
      <color indexed="81"/>
      <name val="Tahoma"/>
      <family val="2"/>
    </font>
    <font>
      <sz val="12"/>
      <color theme="1"/>
      <name val="Arial"/>
      <family val="2"/>
    </font>
    <font>
      <b/>
      <sz val="12"/>
      <color theme="1"/>
      <name val="Arial"/>
      <family val="2"/>
    </font>
    <font>
      <b/>
      <sz val="9"/>
      <color indexed="81"/>
      <name val="Tahoma"/>
      <family val="2"/>
    </font>
    <font>
      <b/>
      <sz val="16"/>
      <color theme="1"/>
      <name val="Calibri"/>
      <family val="2"/>
      <scheme val="minor"/>
    </font>
    <font>
      <sz val="16"/>
      <color theme="1"/>
      <name val="Calibri"/>
      <family val="2"/>
      <scheme val="minor"/>
    </font>
    <font>
      <b/>
      <sz val="16"/>
      <color theme="0" tint="-4.9989318521683403E-2"/>
      <name val="Calibri"/>
      <family val="2"/>
      <scheme val="minor"/>
    </font>
    <font>
      <b/>
      <sz val="16"/>
      <name val="Calibri"/>
      <family val="2"/>
      <scheme val="minor"/>
    </font>
    <font>
      <b/>
      <sz val="12"/>
      <name val="Calibri"/>
      <family val="2"/>
      <scheme val="minor"/>
    </font>
    <font>
      <b/>
      <sz val="14"/>
      <color theme="1"/>
      <name val="Calibri"/>
      <family val="2"/>
      <scheme val="minor"/>
    </font>
    <font>
      <b/>
      <sz val="14"/>
      <color theme="0"/>
      <name val="Calibri"/>
      <family val="2"/>
      <scheme val="minor"/>
    </font>
    <font>
      <sz val="18"/>
      <color theme="1"/>
      <name val="Calibri"/>
      <family val="2"/>
      <scheme val="minor"/>
    </font>
    <font>
      <b/>
      <sz val="14"/>
      <name val="Calibri"/>
      <family val="2"/>
      <scheme val="minor"/>
    </font>
    <font>
      <b/>
      <sz val="12"/>
      <color theme="0"/>
      <name val="Calibri"/>
      <family val="2"/>
      <scheme val="minor"/>
    </font>
    <font>
      <b/>
      <sz val="12"/>
      <color indexed="21"/>
      <name val="Calibri"/>
      <family val="2"/>
    </font>
    <font>
      <b/>
      <sz val="12"/>
      <color indexed="10"/>
      <name val="Calibri"/>
      <family val="2"/>
    </font>
    <font>
      <b/>
      <sz val="12"/>
      <color indexed="8"/>
      <name val="Calibri"/>
      <family val="2"/>
    </font>
    <font>
      <b/>
      <sz val="12"/>
      <color indexed="57"/>
      <name val="Calibri"/>
      <family val="2"/>
    </font>
    <font>
      <b/>
      <sz val="12"/>
      <color rgb="FFC6DCCA"/>
      <name val="Calibri"/>
      <family val="2"/>
      <scheme val="minor"/>
    </font>
    <font>
      <sz val="9"/>
      <color indexed="81"/>
      <name val="Segoe UI"/>
      <family val="2"/>
    </font>
    <font>
      <b/>
      <sz val="11"/>
      <color indexed="57"/>
      <name val="Calibri"/>
      <family val="2"/>
    </font>
    <font>
      <b/>
      <sz val="10"/>
      <color indexed="57"/>
      <name val="Calibri"/>
      <family val="2"/>
    </font>
    <font>
      <b/>
      <sz val="11"/>
      <name val="Calibri"/>
      <family val="2"/>
      <scheme val="minor"/>
    </font>
    <font>
      <b/>
      <sz val="10"/>
      <color theme="1"/>
      <name val="Calibri"/>
      <family val="2"/>
      <scheme val="minor"/>
    </font>
    <font>
      <sz val="10"/>
      <color theme="1"/>
      <name val="Calibri"/>
      <family val="2"/>
      <scheme val="minor"/>
    </font>
    <font>
      <sz val="10"/>
      <name val="Calibri"/>
      <family val="2"/>
      <scheme val="minor"/>
    </font>
    <font>
      <b/>
      <sz val="10"/>
      <name val="Calibri"/>
      <family val="2"/>
      <scheme val="minor"/>
    </font>
    <font>
      <sz val="11"/>
      <name val="Calibri"/>
      <family val="2"/>
      <scheme val="minor"/>
    </font>
    <font>
      <b/>
      <sz val="12"/>
      <color rgb="FFFF0000"/>
      <name val="Calibri"/>
      <family val="2"/>
      <scheme val="minor"/>
    </font>
    <font>
      <b/>
      <sz val="8"/>
      <color theme="1"/>
      <name val="Calibri"/>
      <family val="2"/>
      <scheme val="minor"/>
    </font>
    <font>
      <b/>
      <sz val="12"/>
      <color indexed="81"/>
      <name val="Segoe UI"/>
      <family val="2"/>
    </font>
    <font>
      <b/>
      <sz val="11"/>
      <color theme="0"/>
      <name val="Calibri"/>
      <family val="2"/>
      <scheme val="minor"/>
    </font>
    <font>
      <b/>
      <sz val="18"/>
      <color theme="0"/>
      <name val="Calibri"/>
      <family val="2"/>
      <scheme val="minor"/>
    </font>
    <font>
      <b/>
      <sz val="16"/>
      <name val="Arial"/>
      <family val="2"/>
    </font>
    <font>
      <b/>
      <sz val="12"/>
      <name val="Arial"/>
      <family val="2"/>
    </font>
    <font>
      <sz val="10"/>
      <name val="Arial"/>
      <family val="2"/>
    </font>
    <font>
      <sz val="8"/>
      <color rgb="FF434343"/>
      <name val="Tahoma"/>
      <family val="2"/>
    </font>
    <font>
      <b/>
      <sz val="7"/>
      <color rgb="FF000000"/>
      <name val="Tahoma"/>
      <family val="2"/>
    </font>
    <font>
      <b/>
      <u/>
      <sz val="16"/>
      <color rgb="FFFF0000"/>
      <name val="Calibri"/>
      <family val="2"/>
      <scheme val="minor"/>
    </font>
    <font>
      <b/>
      <sz val="16"/>
      <color rgb="FFFF000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8080"/>
        <bgColor indexed="64"/>
      </patternFill>
    </fill>
    <fill>
      <patternFill patternType="solid">
        <fgColor rgb="FFBDD1C5"/>
        <bgColor indexed="64"/>
      </patternFill>
    </fill>
    <fill>
      <patternFill patternType="solid">
        <fgColor theme="8" tint="0.59999389629810485"/>
        <bgColor indexed="64"/>
      </patternFill>
    </fill>
    <fill>
      <patternFill patternType="solid">
        <fgColor theme="8" tint="-0.499984740745262"/>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FFFFFF"/>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theme="1"/>
      </left>
      <right/>
      <top style="thin">
        <color theme="1"/>
      </top>
      <bottom/>
      <diagonal/>
    </border>
    <border>
      <left/>
      <right style="thin">
        <color theme="1"/>
      </right>
      <top style="thin">
        <color theme="1"/>
      </top>
      <bottom/>
      <diagonal/>
    </border>
    <border>
      <left/>
      <right style="thin">
        <color auto="1"/>
      </right>
      <top style="thin">
        <color auto="1"/>
      </top>
      <bottom/>
      <diagonal/>
    </border>
    <border>
      <left style="thin">
        <color theme="1"/>
      </left>
      <right/>
      <top/>
      <bottom/>
      <diagonal/>
    </border>
    <border>
      <left/>
      <right style="thin">
        <color theme="1"/>
      </right>
      <top/>
      <bottom/>
      <diagonal/>
    </border>
    <border>
      <left/>
      <right style="thin">
        <color auto="1"/>
      </right>
      <top/>
      <bottom/>
      <diagonal/>
    </border>
    <border>
      <left style="thin">
        <color theme="1"/>
      </left>
      <right style="thin">
        <color theme="1"/>
      </right>
      <top style="thin">
        <color theme="1"/>
      </top>
      <bottom/>
      <diagonal/>
    </border>
    <border>
      <left/>
      <right/>
      <top style="thin">
        <color theme="1"/>
      </top>
      <bottom/>
      <diagonal/>
    </border>
    <border>
      <left style="thin">
        <color theme="1"/>
      </left>
      <right style="thin">
        <color theme="1"/>
      </right>
      <top/>
      <bottom/>
      <diagonal/>
    </border>
    <border>
      <left style="thin">
        <color theme="1"/>
      </left>
      <right style="thin">
        <color theme="1"/>
      </right>
      <top/>
      <bottom style="thin">
        <color theme="1"/>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style="hair">
        <color indexed="64"/>
      </bottom>
      <diagonal/>
    </border>
    <border>
      <left style="thin">
        <color auto="1"/>
      </left>
      <right style="thin">
        <color auto="1"/>
      </right>
      <top/>
      <bottom style="thin">
        <color auto="1"/>
      </bottom>
      <diagonal/>
    </border>
    <border>
      <left style="thin">
        <color auto="1"/>
      </left>
      <right style="mediumDashed">
        <color auto="1"/>
      </right>
      <top style="thin">
        <color auto="1"/>
      </top>
      <bottom style="thin">
        <color auto="1"/>
      </bottom>
      <diagonal/>
    </border>
    <border>
      <left style="mediumDashed">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medium">
        <color indexed="64"/>
      </right>
      <top style="medium">
        <color indexed="64"/>
      </top>
      <bottom style="thin">
        <color indexed="64"/>
      </bottom>
      <diagonal/>
    </border>
    <border>
      <left style="thin">
        <color auto="1"/>
      </left>
      <right/>
      <top style="medium">
        <color indexed="64"/>
      </top>
      <bottom style="thin">
        <color auto="1"/>
      </bottom>
      <diagonal/>
    </border>
    <border>
      <left style="thin">
        <color indexed="64"/>
      </left>
      <right/>
      <top style="thin">
        <color indexed="64"/>
      </top>
      <bottom style="medium">
        <color indexed="64"/>
      </bottom>
      <diagonal/>
    </border>
    <border>
      <left/>
      <right/>
      <top style="hair">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thin">
        <color auto="1"/>
      </top>
      <bottom style="thin">
        <color theme="1"/>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style="thin">
        <color auto="1"/>
      </left>
      <right/>
      <top style="thin">
        <color auto="1"/>
      </top>
      <bottom/>
      <diagonal/>
    </border>
    <border>
      <left style="thin">
        <color indexed="64"/>
      </left>
      <right style="thin">
        <color indexed="64"/>
      </right>
      <top/>
      <bottom/>
      <diagonal/>
    </border>
    <border>
      <left/>
      <right style="thin">
        <color auto="1"/>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diagonal/>
    </border>
  </borders>
  <cellStyleXfs count="5">
    <xf numFmtId="0" fontId="0" fillId="0" borderId="0"/>
    <xf numFmtId="9" fontId="2" fillId="0" borderId="0" applyFont="0" applyFill="0" applyBorder="0" applyAlignment="0" applyProtection="0"/>
    <xf numFmtId="43" fontId="2" fillId="0" borderId="0" applyFont="0" applyFill="0" applyBorder="0" applyAlignment="0" applyProtection="0"/>
    <xf numFmtId="0" fontId="49" fillId="0" borderId="0"/>
    <xf numFmtId="168" fontId="49" fillId="0" borderId="0" applyFont="0" applyFill="0" applyBorder="0" applyAlignment="0" applyProtection="0"/>
  </cellStyleXfs>
  <cellXfs count="492">
    <xf numFmtId="0" fontId="0" fillId="0" borderId="0" xfId="0"/>
    <xf numFmtId="0" fontId="0" fillId="0" borderId="0" xfId="0" applyAlignment="1">
      <alignment vertical="center" wrapText="1"/>
    </xf>
    <xf numFmtId="0" fontId="0" fillId="0" borderId="1" xfId="0" applyBorder="1" applyAlignment="1">
      <alignment vertical="center" wrapText="1"/>
    </xf>
    <xf numFmtId="0" fontId="1" fillId="0" borderId="1" xfId="0" applyFont="1" applyBorder="1" applyAlignment="1">
      <alignment vertical="center" wrapText="1"/>
    </xf>
    <xf numFmtId="41" fontId="0" fillId="2" borderId="1" xfId="0" applyNumberFormat="1" applyFill="1" applyBorder="1" applyAlignment="1">
      <alignment vertical="center" wrapText="1"/>
    </xf>
    <xf numFmtId="41" fontId="0" fillId="0" borderId="1" xfId="0" applyNumberFormat="1" applyBorder="1" applyAlignment="1">
      <alignment vertical="center" wrapText="1"/>
    </xf>
    <xf numFmtId="165" fontId="0" fillId="0" borderId="1" xfId="0" applyNumberFormat="1" applyBorder="1" applyAlignment="1">
      <alignment horizontal="center" vertical="center" wrapText="1"/>
    </xf>
    <xf numFmtId="43" fontId="0" fillId="0" borderId="1" xfId="0" applyNumberFormat="1" applyBorder="1" applyAlignment="1">
      <alignment vertical="center" wrapText="1"/>
    </xf>
    <xf numFmtId="0" fontId="1" fillId="0" borderId="0" xfId="0" applyFont="1" applyAlignment="1">
      <alignment vertical="center" wrapText="1"/>
    </xf>
    <xf numFmtId="41" fontId="1" fillId="0" borderId="1" xfId="0" applyNumberFormat="1" applyFont="1" applyBorder="1" applyAlignment="1">
      <alignment vertical="center" wrapText="1"/>
    </xf>
    <xf numFmtId="164" fontId="1" fillId="0" borderId="1" xfId="0" applyNumberFormat="1" applyFont="1" applyBorder="1" applyAlignment="1">
      <alignment vertical="center" wrapText="1"/>
    </xf>
    <xf numFmtId="0" fontId="1" fillId="3" borderId="1" xfId="0" applyFont="1" applyFill="1" applyBorder="1" applyAlignment="1">
      <alignment vertical="center" wrapText="1"/>
    </xf>
    <xf numFmtId="0" fontId="0" fillId="0" borderId="0" xfId="0" applyAlignment="1">
      <alignment wrapText="1"/>
    </xf>
    <xf numFmtId="41" fontId="1" fillId="3" borderId="1" xfId="0" applyNumberFormat="1" applyFont="1" applyFill="1" applyBorder="1" applyAlignment="1">
      <alignment vertical="center" wrapText="1"/>
    </xf>
    <xf numFmtId="164" fontId="1" fillId="3" borderId="1" xfId="0" applyNumberFormat="1" applyFont="1" applyFill="1" applyBorder="1" applyAlignment="1">
      <alignment vertical="center" wrapText="1"/>
    </xf>
    <xf numFmtId="164" fontId="0" fillId="0" borderId="1" xfId="0" applyNumberFormat="1" applyBorder="1" applyAlignment="1">
      <alignment vertical="center" wrapText="1"/>
    </xf>
    <xf numFmtId="0" fontId="1" fillId="4" borderId="1" xfId="0" applyFont="1" applyFill="1" applyBorder="1" applyAlignment="1">
      <alignment vertical="center" wrapText="1"/>
    </xf>
    <xf numFmtId="41" fontId="1" fillId="4" borderId="1" xfId="0" applyNumberFormat="1" applyFont="1" applyFill="1" applyBorder="1" applyAlignment="1">
      <alignment vertical="center" wrapText="1"/>
    </xf>
    <xf numFmtId="164" fontId="1" fillId="4" borderId="1" xfId="0" applyNumberFormat="1" applyFont="1" applyFill="1" applyBorder="1" applyAlignment="1">
      <alignment vertical="center" wrapText="1"/>
    </xf>
    <xf numFmtId="0" fontId="0" fillId="0" borderId="0" xfId="0" applyFont="1"/>
    <xf numFmtId="0" fontId="1" fillId="3" borderId="1" xfId="0" applyFont="1" applyFill="1" applyBorder="1" applyAlignment="1">
      <alignment horizontal="center" vertical="center" wrapText="1"/>
    </xf>
    <xf numFmtId="4" fontId="0" fillId="0" borderId="1" xfId="0" applyNumberFormat="1" applyBorder="1" applyAlignment="1">
      <alignment horizontal="left" vertical="center" wrapText="1"/>
    </xf>
    <xf numFmtId="0" fontId="1"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6" fillId="2" borderId="1" xfId="0" applyFont="1" applyFill="1" applyBorder="1" applyAlignment="1">
      <alignment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3"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0" fontId="0" fillId="0" borderId="0" xfId="0"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41" fontId="3" fillId="3" borderId="1" xfId="0" applyNumberFormat="1" applyFont="1" applyFill="1" applyBorder="1" applyAlignment="1">
      <alignment horizontal="center" vertical="center" wrapText="1"/>
    </xf>
    <xf numFmtId="41" fontId="3" fillId="3" borderId="1" xfId="0" applyNumberFormat="1" applyFont="1" applyFill="1" applyBorder="1" applyAlignment="1">
      <alignment vertical="center" wrapText="1"/>
    </xf>
    <xf numFmtId="164" fontId="3" fillId="3" borderId="1" xfId="0" applyNumberFormat="1"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0" fontId="3"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vertical="center" wrapText="1"/>
    </xf>
    <xf numFmtId="0" fontId="9" fillId="2" borderId="17" xfId="0" applyFont="1" applyFill="1" applyBorder="1" applyAlignment="1">
      <alignment horizontal="center" vertical="center" wrapText="1"/>
    </xf>
    <xf numFmtId="0" fontId="10" fillId="2" borderId="1" xfId="0" applyFont="1" applyFill="1" applyBorder="1" applyAlignment="1">
      <alignment vertical="center" wrapText="1"/>
    </xf>
    <xf numFmtId="0" fontId="7" fillId="2" borderId="1" xfId="0" applyFont="1" applyFill="1" applyBorder="1" applyAlignment="1">
      <alignment horizontal="left" vertical="center" wrapText="1"/>
    </xf>
    <xf numFmtId="4" fontId="7" fillId="2" borderId="1" xfId="0" applyNumberFormat="1" applyFont="1" applyFill="1" applyBorder="1" applyAlignment="1">
      <alignment horizontal="left" vertical="center" wrapText="1"/>
    </xf>
    <xf numFmtId="0" fontId="7" fillId="2" borderId="1" xfId="0" applyFont="1" applyFill="1" applyBorder="1"/>
    <xf numFmtId="0" fontId="7" fillId="2" borderId="1" xfId="0" applyFont="1" applyFill="1" applyBorder="1" applyAlignment="1">
      <alignment vertical="center" wrapText="1"/>
    </xf>
    <xf numFmtId="4" fontId="7" fillId="2" borderId="1" xfId="0" applyNumberFormat="1" applyFont="1" applyFill="1" applyBorder="1" applyAlignment="1">
      <alignment vertical="center" wrapText="1"/>
    </xf>
    <xf numFmtId="166" fontId="3" fillId="3" borderId="1" xfId="0" applyNumberFormat="1" applyFont="1" applyFill="1" applyBorder="1" applyAlignment="1">
      <alignment vertical="center" wrapText="1"/>
    </xf>
    <xf numFmtId="0" fontId="0" fillId="0" borderId="1" xfId="0" applyFill="1" applyBorder="1" applyAlignment="1">
      <alignment vertical="center" wrapText="1"/>
    </xf>
    <xf numFmtId="41" fontId="0" fillId="0" borderId="1" xfId="0" applyNumberFormat="1" applyFill="1" applyBorder="1" applyAlignment="1">
      <alignment vertical="center" wrapText="1"/>
    </xf>
    <xf numFmtId="0" fontId="1" fillId="0" borderId="1" xfId="0" applyFont="1" applyFill="1" applyBorder="1" applyAlignment="1">
      <alignment vertical="center" wrapText="1"/>
    </xf>
    <xf numFmtId="41" fontId="1" fillId="0" borderId="1" xfId="0" applyNumberFormat="1" applyFont="1" applyFill="1" applyBorder="1" applyAlignment="1">
      <alignment vertical="center" wrapText="1"/>
    </xf>
    <xf numFmtId="165" fontId="0" fillId="0" borderId="1" xfId="0" applyNumberFormat="1" applyFill="1" applyBorder="1" applyAlignment="1">
      <alignment horizontal="center" vertical="center" wrapText="1"/>
    </xf>
    <xf numFmtId="166" fontId="0" fillId="0" borderId="1" xfId="0" applyNumberFormat="1" applyFill="1" applyBorder="1" applyAlignment="1">
      <alignment vertical="center" wrapText="1"/>
    </xf>
    <xf numFmtId="0" fontId="5" fillId="0" borderId="17" xfId="0" applyFont="1" applyFill="1" applyBorder="1" applyAlignment="1">
      <alignment horizontal="center" vertical="center" wrapText="1"/>
    </xf>
    <xf numFmtId="0" fontId="6" fillId="0" borderId="1" xfId="0" applyFont="1" applyFill="1" applyBorder="1" applyAlignment="1">
      <alignment horizontal="center" vertical="center" wrapText="1"/>
    </xf>
    <xf numFmtId="9" fontId="0" fillId="0" borderId="1" xfId="1" applyFont="1" applyFill="1" applyBorder="1" applyAlignment="1">
      <alignment horizontal="center" vertical="center" wrapText="1"/>
    </xf>
    <xf numFmtId="166" fontId="0" fillId="2" borderId="1" xfId="0" applyNumberFormat="1" applyFill="1" applyBorder="1" applyAlignment="1">
      <alignment vertical="center" wrapText="1"/>
    </xf>
    <xf numFmtId="0" fontId="0" fillId="0" borderId="1" xfId="0" applyBorder="1" applyAlignment="1" applyProtection="1">
      <alignment horizontal="justify" vertical="justify" wrapText="1"/>
      <protection locked="0"/>
    </xf>
    <xf numFmtId="0" fontId="10" fillId="2" borderId="1" xfId="0" applyFont="1" applyFill="1" applyBorder="1" applyAlignment="1">
      <alignment horizontal="center" vertical="center" wrapText="1"/>
    </xf>
    <xf numFmtId="0" fontId="7" fillId="2" borderId="1" xfId="0" applyFont="1" applyFill="1" applyBorder="1" applyAlignment="1">
      <alignment horizontal="center" wrapText="1"/>
    </xf>
    <xf numFmtId="0" fontId="7" fillId="0" borderId="1" xfId="0" applyFont="1" applyBorder="1" applyAlignment="1" applyProtection="1">
      <alignment horizontal="justify" vertical="justify" wrapText="1"/>
      <protection locked="0"/>
    </xf>
    <xf numFmtId="0" fontId="8" fillId="3" borderId="1" xfId="0" applyFont="1" applyFill="1" applyBorder="1" applyAlignment="1">
      <alignment horizontal="center" vertical="center" wrapText="1"/>
    </xf>
    <xf numFmtId="0" fontId="4" fillId="2" borderId="18" xfId="0" applyFont="1" applyFill="1" applyBorder="1" applyAlignment="1" applyProtection="1">
      <alignment vertical="center" wrapText="1"/>
      <protection locked="0"/>
    </xf>
    <xf numFmtId="0" fontId="4" fillId="2" borderId="18" xfId="0" applyFont="1" applyFill="1" applyBorder="1" applyAlignment="1" applyProtection="1">
      <alignment horizontal="left" vertical="center" wrapText="1"/>
      <protection locked="0"/>
    </xf>
    <xf numFmtId="0" fontId="4" fillId="2" borderId="18" xfId="0" applyFont="1" applyFill="1" applyBorder="1" applyAlignment="1" applyProtection="1">
      <alignment horizontal="center" vertical="center" wrapText="1"/>
      <protection locked="0"/>
    </xf>
    <xf numFmtId="41" fontId="4" fillId="2" borderId="1" xfId="0" applyNumberFormat="1" applyFont="1" applyFill="1" applyBorder="1" applyAlignment="1" applyProtection="1">
      <alignment vertical="center" wrapText="1"/>
      <protection locked="0"/>
    </xf>
    <xf numFmtId="0" fontId="0" fillId="2" borderId="1" xfId="0" applyFill="1" applyBorder="1" applyAlignment="1">
      <alignment vertical="center" wrapText="1"/>
    </xf>
    <xf numFmtId="0" fontId="4" fillId="0" borderId="0" xfId="0" applyFont="1" applyAlignment="1">
      <alignment readingOrder="1"/>
    </xf>
    <xf numFmtId="166" fontId="4" fillId="0" borderId="0" xfId="2" applyNumberFormat="1" applyFont="1" applyAlignment="1">
      <alignment readingOrder="1"/>
    </xf>
    <xf numFmtId="43" fontId="15" fillId="0" borderId="0" xfId="0" applyNumberFormat="1" applyFont="1" applyAlignment="1">
      <alignment horizontal="center" vertical="center"/>
    </xf>
    <xf numFmtId="166" fontId="15" fillId="0" borderId="0" xfId="2" applyNumberFormat="1" applyFont="1" applyAlignment="1">
      <alignment horizontal="center" vertical="center"/>
    </xf>
    <xf numFmtId="166" fontId="15" fillId="0" borderId="22" xfId="2" applyNumberFormat="1" applyFont="1" applyBorder="1" applyAlignment="1">
      <alignment horizontal="center" vertical="center"/>
    </xf>
    <xf numFmtId="0" fontId="1" fillId="3" borderId="1" xfId="0" applyFont="1" applyFill="1" applyBorder="1" applyAlignment="1">
      <alignment horizontal="center" vertical="center" wrapText="1"/>
    </xf>
    <xf numFmtId="43" fontId="15" fillId="0" borderId="0" xfId="0" applyNumberFormat="1" applyFont="1" applyAlignment="1">
      <alignment horizontal="center" vertical="center"/>
    </xf>
    <xf numFmtId="0" fontId="0" fillId="2" borderId="0" xfId="0" applyFill="1"/>
    <xf numFmtId="0" fontId="19" fillId="2" borderId="0" xfId="0" applyFont="1" applyFill="1"/>
    <xf numFmtId="9" fontId="19" fillId="2" borderId="0" xfId="1" applyFont="1" applyFill="1" applyAlignment="1">
      <alignment horizontal="center"/>
    </xf>
    <xf numFmtId="9" fontId="19" fillId="2" borderId="0" xfId="1" applyFont="1" applyFill="1"/>
    <xf numFmtId="0" fontId="19" fillId="0" borderId="0" xfId="0" applyFont="1"/>
    <xf numFmtId="0" fontId="18" fillId="3" borderId="3" xfId="0" applyFont="1" applyFill="1" applyBorder="1" applyAlignment="1">
      <alignment horizontal="center" vertical="center"/>
    </xf>
    <xf numFmtId="0" fontId="18" fillId="3" borderId="1"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8" fillId="3" borderId="5" xfId="0" applyFont="1" applyFill="1" applyBorder="1" applyAlignment="1">
      <alignment horizontal="center" vertical="center" wrapText="1"/>
    </xf>
    <xf numFmtId="9" fontId="18" fillId="3" borderId="1" xfId="1" applyFont="1" applyFill="1" applyBorder="1" applyAlignment="1">
      <alignment horizontal="center" vertical="center" wrapText="1"/>
    </xf>
    <xf numFmtId="0" fontId="18" fillId="3" borderId="3" xfId="0" applyFont="1" applyFill="1" applyBorder="1" applyAlignment="1">
      <alignment vertical="center"/>
    </xf>
    <xf numFmtId="41" fontId="18" fillId="3" borderId="1" xfId="0" applyNumberFormat="1" applyFont="1" applyFill="1" applyBorder="1" applyAlignment="1">
      <alignment vertical="center"/>
    </xf>
    <xf numFmtId="9" fontId="18" fillId="3" borderId="20" xfId="1" applyFont="1" applyFill="1" applyBorder="1" applyAlignment="1">
      <alignment horizontal="center" vertical="center"/>
    </xf>
    <xf numFmtId="9" fontId="18" fillId="3" borderId="1" xfId="1" applyFont="1" applyFill="1" applyBorder="1" applyAlignment="1">
      <alignment horizontal="center" vertical="center"/>
    </xf>
    <xf numFmtId="9" fontId="19" fillId="3" borderId="1" xfId="1" applyFont="1" applyFill="1" applyBorder="1" applyAlignment="1">
      <alignment horizontal="center"/>
    </xf>
    <xf numFmtId="0" fontId="18" fillId="2" borderId="3" xfId="0" applyFont="1" applyFill="1" applyBorder="1" applyAlignment="1">
      <alignment vertical="center"/>
    </xf>
    <xf numFmtId="41" fontId="18" fillId="2" borderId="1" xfId="0" applyNumberFormat="1" applyFont="1" applyFill="1" applyBorder="1" applyAlignment="1">
      <alignment vertical="center"/>
    </xf>
    <xf numFmtId="9" fontId="18" fillId="2" borderId="20" xfId="1" applyFont="1" applyFill="1" applyBorder="1" applyAlignment="1">
      <alignment horizontal="center" vertical="center"/>
    </xf>
    <xf numFmtId="9" fontId="18" fillId="2" borderId="1" xfId="1" applyFont="1" applyFill="1" applyBorder="1" applyAlignment="1">
      <alignment horizontal="center" vertical="center"/>
    </xf>
    <xf numFmtId="9" fontId="19" fillId="2" borderId="1" xfId="1" applyFont="1" applyFill="1" applyBorder="1" applyAlignment="1">
      <alignment horizontal="center"/>
    </xf>
    <xf numFmtId="0" fontId="18" fillId="5" borderId="3" xfId="0" applyFont="1" applyFill="1" applyBorder="1" applyAlignment="1">
      <alignment vertical="center"/>
    </xf>
    <xf numFmtId="41" fontId="18" fillId="5" borderId="1" xfId="0" applyNumberFormat="1" applyFont="1" applyFill="1" applyBorder="1" applyAlignment="1">
      <alignment vertical="center"/>
    </xf>
    <xf numFmtId="9" fontId="18" fillId="5" borderId="20" xfId="1" applyFont="1" applyFill="1" applyBorder="1" applyAlignment="1">
      <alignment horizontal="center" vertical="center"/>
    </xf>
    <xf numFmtId="9" fontId="18" fillId="5" borderId="1" xfId="1" applyFont="1" applyFill="1" applyBorder="1" applyAlignment="1">
      <alignment horizontal="center" vertical="center"/>
    </xf>
    <xf numFmtId="9" fontId="18" fillId="5" borderId="1" xfId="1" applyFont="1" applyFill="1" applyBorder="1" applyAlignment="1">
      <alignment horizontal="center"/>
    </xf>
    <xf numFmtId="0" fontId="19" fillId="2" borderId="3" xfId="0" applyFont="1" applyFill="1" applyBorder="1" applyAlignment="1">
      <alignment vertical="center"/>
    </xf>
    <xf numFmtId="41" fontId="19" fillId="2" borderId="1" xfId="0" applyNumberFormat="1" applyFont="1" applyFill="1" applyBorder="1" applyAlignment="1">
      <alignment vertical="center"/>
    </xf>
    <xf numFmtId="9" fontId="18" fillId="2" borderId="3" xfId="1" applyFont="1" applyFill="1" applyBorder="1" applyAlignment="1">
      <alignment horizontal="center" vertical="center"/>
    </xf>
    <xf numFmtId="41" fontId="19" fillId="2" borderId="21" xfId="0" applyNumberFormat="1" applyFont="1" applyFill="1" applyBorder="1" applyAlignment="1">
      <alignment vertical="center"/>
    </xf>
    <xf numFmtId="9" fontId="18" fillId="3" borderId="3" xfId="1" applyFont="1" applyFill="1" applyBorder="1" applyAlignment="1">
      <alignment horizontal="center" vertical="center"/>
    </xf>
    <xf numFmtId="41" fontId="18" fillId="3" borderId="21" xfId="0" applyNumberFormat="1" applyFont="1" applyFill="1" applyBorder="1" applyAlignment="1">
      <alignment vertical="center"/>
    </xf>
    <xf numFmtId="4" fontId="19" fillId="0" borderId="0" xfId="0" applyNumberFormat="1" applyFont="1"/>
    <xf numFmtId="9" fontId="19" fillId="0" borderId="0" xfId="1" applyFont="1" applyAlignment="1">
      <alignment horizontal="center"/>
    </xf>
    <xf numFmtId="9" fontId="19" fillId="0" borderId="0" xfId="1" applyFont="1"/>
    <xf numFmtId="43" fontId="19" fillId="0" borderId="0" xfId="0" applyNumberFormat="1" applyFont="1"/>
    <xf numFmtId="0" fontId="1" fillId="3" borderId="34"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1" fillId="3" borderId="36" xfId="0" applyFont="1" applyFill="1" applyBorder="1" applyAlignment="1">
      <alignment horizontal="center" vertical="center" wrapText="1"/>
    </xf>
    <xf numFmtId="165" fontId="0" fillId="0" borderId="24" xfId="0" applyNumberFormat="1" applyBorder="1" applyAlignment="1">
      <alignment horizontal="center" vertical="center" wrapText="1"/>
    </xf>
    <xf numFmtId="0" fontId="3" fillId="3" borderId="23" xfId="0" applyFont="1" applyFill="1" applyBorder="1" applyAlignment="1">
      <alignment horizontal="center" vertical="center" wrapText="1"/>
    </xf>
    <xf numFmtId="0" fontId="3" fillId="3" borderId="22" xfId="0" applyFont="1" applyFill="1" applyBorder="1" applyAlignment="1">
      <alignment vertical="center" wrapText="1"/>
    </xf>
    <xf numFmtId="41" fontId="3" fillId="3" borderId="22" xfId="0" applyNumberFormat="1" applyFont="1" applyFill="1" applyBorder="1" applyAlignment="1">
      <alignment horizontal="center" vertical="center" wrapText="1"/>
    </xf>
    <xf numFmtId="165" fontId="1" fillId="3" borderId="22" xfId="0" applyNumberFormat="1" applyFont="1" applyFill="1" applyBorder="1" applyAlignment="1">
      <alignment horizontal="center" vertical="center" wrapText="1"/>
    </xf>
    <xf numFmtId="165" fontId="3" fillId="3" borderId="22" xfId="0" applyNumberFormat="1" applyFont="1" applyFill="1" applyBorder="1" applyAlignment="1">
      <alignment horizontal="center" vertical="center" wrapText="1"/>
    </xf>
    <xf numFmtId="0" fontId="0" fillId="2" borderId="23" xfId="0" applyFill="1" applyBorder="1"/>
    <xf numFmtId="0" fontId="0" fillId="2" borderId="22" xfId="0" applyFill="1" applyBorder="1"/>
    <xf numFmtId="0" fontId="0" fillId="2" borderId="24" xfId="0" applyFill="1" applyBorder="1"/>
    <xf numFmtId="0" fontId="3" fillId="3" borderId="25"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6" xfId="0" applyFont="1" applyFill="1" applyBorder="1" applyAlignment="1">
      <alignment vertical="center" wrapText="1"/>
    </xf>
    <xf numFmtId="41" fontId="3" fillId="3" borderId="26" xfId="0" applyNumberFormat="1" applyFont="1" applyFill="1" applyBorder="1" applyAlignment="1">
      <alignment horizontal="center" vertical="center" wrapText="1"/>
    </xf>
    <xf numFmtId="165" fontId="1" fillId="3" borderId="26" xfId="0" applyNumberFormat="1" applyFont="1" applyFill="1" applyBorder="1" applyAlignment="1">
      <alignment horizontal="center" vertical="center" wrapText="1"/>
    </xf>
    <xf numFmtId="165" fontId="3" fillId="3" borderId="26" xfId="0" applyNumberFormat="1" applyFont="1" applyFill="1" applyBorder="1" applyAlignment="1">
      <alignment horizontal="center" vertical="center" wrapText="1"/>
    </xf>
    <xf numFmtId="165" fontId="3" fillId="3" borderId="27" xfId="0" applyNumberFormat="1" applyFont="1" applyFill="1" applyBorder="1" applyAlignment="1">
      <alignment horizontal="center" vertical="center" wrapText="1"/>
    </xf>
    <xf numFmtId="166" fontId="15" fillId="5" borderId="22" xfId="2" applyNumberFormat="1" applyFont="1" applyFill="1" applyBorder="1" applyAlignment="1">
      <alignment horizontal="center" vertical="center"/>
    </xf>
    <xf numFmtId="0" fontId="11" fillId="3" borderId="22" xfId="0" applyFont="1" applyFill="1" applyBorder="1" applyAlignment="1">
      <alignment horizontal="center" vertical="center" readingOrder="1"/>
    </xf>
    <xf numFmtId="0" fontId="12" fillId="3" borderId="22" xfId="0" applyFont="1" applyFill="1" applyBorder="1" applyAlignment="1">
      <alignment horizontal="center" vertical="center" readingOrder="1"/>
    </xf>
    <xf numFmtId="9" fontId="12" fillId="0" borderId="22" xfId="1" applyFont="1" applyBorder="1" applyAlignment="1">
      <alignment horizontal="center" vertical="center" readingOrder="1"/>
    </xf>
    <xf numFmtId="9" fontId="13" fillId="3" borderId="22" xfId="1" applyFont="1" applyFill="1" applyBorder="1" applyAlignment="1">
      <alignment horizontal="center" vertical="center" readingOrder="1"/>
    </xf>
    <xf numFmtId="0" fontId="13" fillId="3" borderId="22" xfId="0" applyFont="1" applyFill="1" applyBorder="1" applyAlignment="1">
      <alignment horizontal="center" vertical="center" wrapText="1" readingOrder="1"/>
    </xf>
    <xf numFmtId="9" fontId="18" fillId="3" borderId="1" xfId="1" applyFont="1" applyFill="1" applyBorder="1" applyAlignment="1">
      <alignment horizontal="center"/>
    </xf>
    <xf numFmtId="166" fontId="12" fillId="5" borderId="22" xfId="2" applyNumberFormat="1" applyFont="1" applyFill="1" applyBorder="1" applyAlignment="1">
      <alignment vertical="center"/>
    </xf>
    <xf numFmtId="166" fontId="12" fillId="5" borderId="3" xfId="2" applyNumberFormat="1" applyFont="1" applyFill="1" applyBorder="1" applyAlignment="1">
      <alignment vertical="center"/>
    </xf>
    <xf numFmtId="43" fontId="15" fillId="2" borderId="0" xfId="0" applyNumberFormat="1" applyFont="1" applyFill="1" applyAlignment="1">
      <alignment horizontal="center" vertical="center"/>
    </xf>
    <xf numFmtId="166" fontId="15" fillId="2" borderId="0" xfId="2" applyNumberFormat="1" applyFont="1" applyFill="1" applyAlignment="1">
      <alignment horizontal="center" vertical="center"/>
    </xf>
    <xf numFmtId="0" fontId="24" fillId="6" borderId="40" xfId="0" applyFont="1" applyFill="1" applyBorder="1" applyAlignment="1">
      <alignment horizontal="left" vertical="center" wrapText="1"/>
    </xf>
    <xf numFmtId="0" fontId="25" fillId="2" borderId="0" xfId="0" applyFont="1" applyFill="1"/>
    <xf numFmtId="41" fontId="24" fillId="6" borderId="43" xfId="0" applyNumberFormat="1" applyFont="1" applyFill="1" applyBorder="1" applyAlignment="1">
      <alignment horizontal="center" vertical="center" wrapText="1"/>
    </xf>
    <xf numFmtId="41" fontId="24" fillId="6" borderId="44" xfId="0" applyNumberFormat="1" applyFont="1" applyFill="1" applyBorder="1" applyAlignment="1">
      <alignment horizontal="center" vertical="center" wrapText="1"/>
    </xf>
    <xf numFmtId="41" fontId="23" fillId="2" borderId="0" xfId="0" applyNumberFormat="1" applyFont="1" applyFill="1" applyBorder="1" applyAlignment="1">
      <alignment horizontal="center" vertical="center" wrapText="1"/>
    </xf>
    <xf numFmtId="0" fontId="4" fillId="2" borderId="0" xfId="0" applyFont="1" applyFill="1"/>
    <xf numFmtId="43" fontId="23" fillId="3" borderId="46" xfId="2" applyFont="1" applyFill="1" applyBorder="1" applyAlignment="1">
      <alignment horizontal="left" vertical="center" wrapText="1"/>
    </xf>
    <xf numFmtId="41" fontId="23" fillId="2" borderId="35" xfId="0" applyNumberFormat="1" applyFont="1" applyFill="1" applyBorder="1" applyAlignment="1">
      <alignment horizontal="right" vertical="center" wrapText="1"/>
    </xf>
    <xf numFmtId="43" fontId="23" fillId="3" borderId="36" xfId="2" applyFont="1" applyFill="1" applyBorder="1" applyAlignment="1">
      <alignment horizontal="right" vertical="center" wrapText="1"/>
    </xf>
    <xf numFmtId="43" fontId="23" fillId="3" borderId="49" xfId="2" applyFont="1" applyFill="1" applyBorder="1" applyAlignment="1">
      <alignment horizontal="left" vertical="center" wrapText="1"/>
    </xf>
    <xf numFmtId="41" fontId="23" fillId="2" borderId="22" xfId="0" applyNumberFormat="1" applyFont="1" applyFill="1" applyBorder="1" applyAlignment="1">
      <alignment horizontal="left" vertical="center" wrapText="1"/>
    </xf>
    <xf numFmtId="43" fontId="23" fillId="3" borderId="24" xfId="2" applyFont="1" applyFill="1" applyBorder="1" applyAlignment="1">
      <alignment horizontal="right" vertical="center" wrapText="1"/>
    </xf>
    <xf numFmtId="41" fontId="23" fillId="3" borderId="26" xfId="0" applyNumberFormat="1" applyFont="1" applyFill="1" applyBorder="1" applyAlignment="1">
      <alignment horizontal="left" vertical="center" wrapText="1"/>
    </xf>
    <xf numFmtId="43" fontId="23" fillId="3" borderId="27" xfId="2" applyFont="1" applyFill="1" applyBorder="1" applyAlignment="1">
      <alignment horizontal="right" vertical="center" wrapText="1"/>
    </xf>
    <xf numFmtId="166" fontId="23" fillId="2" borderId="0" xfId="2" applyNumberFormat="1" applyFont="1" applyFill="1" applyBorder="1" applyAlignment="1">
      <alignment horizontal="right" vertical="center" wrapText="1"/>
    </xf>
    <xf numFmtId="43" fontId="23" fillId="2" borderId="0" xfId="2" applyFont="1" applyFill="1" applyBorder="1" applyAlignment="1">
      <alignment horizontal="left" vertical="center" wrapText="1"/>
    </xf>
    <xf numFmtId="0" fontId="23" fillId="2" borderId="0" xfId="0" applyFont="1" applyFill="1" applyBorder="1" applyAlignment="1">
      <alignment vertical="center" wrapText="1"/>
    </xf>
    <xf numFmtId="41" fontId="23" fillId="2" borderId="0" xfId="0" applyNumberFormat="1" applyFont="1" applyFill="1" applyBorder="1" applyAlignment="1">
      <alignment horizontal="left" vertical="center" wrapText="1"/>
    </xf>
    <xf numFmtId="0" fontId="3" fillId="2" borderId="0" xfId="0" applyFont="1" applyFill="1" applyBorder="1" applyAlignment="1">
      <alignment horizontal="center" vertical="center" textRotation="90"/>
    </xf>
    <xf numFmtId="0" fontId="3" fillId="2" borderId="0" xfId="0" applyFont="1" applyFill="1" applyBorder="1" applyAlignment="1">
      <alignment horizontal="left" vertical="center" wrapText="1"/>
    </xf>
    <xf numFmtId="166" fontId="3" fillId="2" borderId="0" xfId="2" applyNumberFormat="1" applyFont="1" applyFill="1" applyBorder="1" applyAlignment="1">
      <alignment horizontal="left" vertical="center" wrapText="1"/>
    </xf>
    <xf numFmtId="43" fontId="3" fillId="2" borderId="0" xfId="2" applyFont="1" applyFill="1" applyBorder="1" applyAlignment="1">
      <alignment horizontal="left" vertical="center" wrapText="1"/>
    </xf>
    <xf numFmtId="0" fontId="3" fillId="2" borderId="0" xfId="0" applyFont="1" applyFill="1" applyBorder="1" applyAlignment="1">
      <alignment vertical="center" wrapText="1"/>
    </xf>
    <xf numFmtId="41" fontId="3" fillId="2" borderId="0" xfId="0" applyNumberFormat="1" applyFont="1" applyFill="1" applyBorder="1" applyAlignment="1">
      <alignment horizontal="center" vertical="center" wrapText="1"/>
    </xf>
    <xf numFmtId="41" fontId="3" fillId="2" borderId="0" xfId="0" applyNumberFormat="1" applyFont="1" applyFill="1" applyBorder="1" applyAlignment="1">
      <alignment horizontal="left" vertical="center" wrapText="1"/>
    </xf>
    <xf numFmtId="0" fontId="4" fillId="2" borderId="0" xfId="0" applyFont="1" applyFill="1" applyBorder="1"/>
    <xf numFmtId="41" fontId="27" fillId="6" borderId="55" xfId="0" applyNumberFormat="1" applyFont="1" applyFill="1" applyBorder="1" applyAlignment="1">
      <alignment horizontal="center" vertical="center" wrapText="1"/>
    </xf>
    <xf numFmtId="41" fontId="27" fillId="6" borderId="56" xfId="0" applyNumberFormat="1" applyFont="1" applyFill="1" applyBorder="1" applyAlignment="1">
      <alignment horizontal="center" vertical="center" wrapText="1"/>
    </xf>
    <xf numFmtId="41" fontId="27" fillId="6" borderId="54" xfId="0" applyNumberFormat="1" applyFont="1" applyFill="1" applyBorder="1" applyAlignment="1">
      <alignment horizontal="center" vertical="center" wrapText="1"/>
    </xf>
    <xf numFmtId="41" fontId="27" fillId="6" borderId="57" xfId="0" applyNumberFormat="1" applyFont="1" applyFill="1" applyBorder="1" applyAlignment="1">
      <alignment horizontal="center" vertical="center" wrapText="1"/>
    </xf>
    <xf numFmtId="41" fontId="3" fillId="2" borderId="19" xfId="0" applyNumberFormat="1" applyFont="1" applyFill="1" applyBorder="1" applyAlignment="1">
      <alignment horizontal="center" vertical="center" wrapText="1"/>
    </xf>
    <xf numFmtId="166" fontId="3" fillId="2" borderId="19" xfId="2" applyNumberFormat="1" applyFont="1" applyFill="1" applyBorder="1" applyAlignment="1">
      <alignment horizontal="right" vertical="center" wrapText="1"/>
    </xf>
    <xf numFmtId="43" fontId="3" fillId="3" borderId="58" xfId="2" applyFont="1" applyFill="1" applyBorder="1" applyAlignment="1">
      <alignment horizontal="right" vertical="center" wrapText="1"/>
    </xf>
    <xf numFmtId="41" fontId="3" fillId="2" borderId="22" xfId="0" applyNumberFormat="1" applyFont="1" applyFill="1" applyBorder="1" applyAlignment="1">
      <alignment horizontal="center" vertical="center" wrapText="1"/>
    </xf>
    <xf numFmtId="41" fontId="3" fillId="3" borderId="19" xfId="0" applyNumberFormat="1" applyFont="1" applyFill="1" applyBorder="1" applyAlignment="1">
      <alignment horizontal="right" vertical="center" wrapText="1"/>
    </xf>
    <xf numFmtId="41" fontId="32" fillId="7" borderId="22" xfId="0" applyNumberFormat="1" applyFont="1" applyFill="1" applyBorder="1" applyAlignment="1">
      <alignment horizontal="center" vertical="center" wrapText="1"/>
    </xf>
    <xf numFmtId="165" fontId="3" fillId="3" borderId="22" xfId="2" applyNumberFormat="1" applyFont="1" applyFill="1" applyBorder="1" applyAlignment="1">
      <alignment horizontal="right" vertical="center" wrapText="1"/>
    </xf>
    <xf numFmtId="165" fontId="3" fillId="3" borderId="24" xfId="1" applyNumberFormat="1" applyFont="1" applyFill="1" applyBorder="1" applyAlignment="1">
      <alignment horizontal="right" vertical="center" wrapText="1"/>
    </xf>
    <xf numFmtId="41" fontId="3" fillId="7" borderId="22" xfId="0" applyNumberFormat="1" applyFont="1" applyFill="1" applyBorder="1" applyAlignment="1">
      <alignment horizontal="center" vertical="center" wrapText="1"/>
    </xf>
    <xf numFmtId="165" fontId="3" fillId="3" borderId="22" xfId="1" applyNumberFormat="1" applyFont="1" applyFill="1" applyBorder="1" applyAlignment="1">
      <alignment horizontal="right" vertical="center" wrapText="1"/>
    </xf>
    <xf numFmtId="166" fontId="3" fillId="2" borderId="22" xfId="2" applyNumberFormat="1" applyFont="1" applyFill="1" applyBorder="1" applyAlignment="1">
      <alignment horizontal="right" vertical="center" wrapText="1"/>
    </xf>
    <xf numFmtId="41" fontId="3" fillId="2" borderId="22" xfId="0" applyNumberFormat="1" applyFont="1" applyFill="1" applyBorder="1" applyAlignment="1">
      <alignment horizontal="right" vertical="center" wrapText="1"/>
    </xf>
    <xf numFmtId="43" fontId="3" fillId="3" borderId="24" xfId="2" applyFont="1" applyFill="1" applyBorder="1" applyAlignment="1">
      <alignment horizontal="right" vertical="center" wrapText="1"/>
    </xf>
    <xf numFmtId="41" fontId="3" fillId="7" borderId="26" xfId="0" applyNumberFormat="1" applyFont="1" applyFill="1" applyBorder="1" applyAlignment="1">
      <alignment horizontal="center" vertical="center" wrapText="1"/>
    </xf>
    <xf numFmtId="165" fontId="3" fillId="3" borderId="26" xfId="1" applyNumberFormat="1" applyFont="1" applyFill="1" applyBorder="1" applyAlignment="1">
      <alignment horizontal="right" vertical="center" wrapText="1"/>
    </xf>
    <xf numFmtId="165" fontId="3" fillId="3" borderId="27" xfId="1" applyNumberFormat="1" applyFont="1" applyFill="1" applyBorder="1" applyAlignment="1">
      <alignment horizontal="right" vertical="center" wrapText="1"/>
    </xf>
    <xf numFmtId="43" fontId="3" fillId="2" borderId="22" xfId="2" applyFont="1" applyFill="1" applyBorder="1" applyAlignment="1">
      <alignment horizontal="right" vertical="center" wrapText="1"/>
    </xf>
    <xf numFmtId="165" fontId="3" fillId="3" borderId="26" xfId="2" applyNumberFormat="1" applyFont="1" applyFill="1" applyBorder="1" applyAlignment="1">
      <alignment horizontal="right" vertical="center" wrapText="1"/>
    </xf>
    <xf numFmtId="0" fontId="0" fillId="2" borderId="0" xfId="0" applyFill="1" applyAlignment="1">
      <alignment horizontal="center"/>
    </xf>
    <xf numFmtId="0" fontId="3" fillId="3" borderId="3" xfId="0" applyFont="1" applyFill="1" applyBorder="1" applyAlignment="1">
      <alignment horizontal="center" vertical="center" wrapText="1"/>
    </xf>
    <xf numFmtId="166" fontId="23" fillId="3" borderId="37" xfId="2" applyNumberFormat="1" applyFont="1" applyFill="1" applyBorder="1" applyAlignment="1">
      <alignment horizontal="left" vertical="center" wrapText="1"/>
    </xf>
    <xf numFmtId="166" fontId="23" fillId="3" borderId="48" xfId="2" applyNumberFormat="1" applyFont="1" applyFill="1" applyBorder="1" applyAlignment="1">
      <alignment horizontal="left" vertical="center" wrapText="1"/>
    </xf>
    <xf numFmtId="166" fontId="1" fillId="3" borderId="1" xfId="2" applyNumberFormat="1" applyFont="1" applyFill="1" applyBorder="1" applyAlignment="1">
      <alignment vertical="center" wrapText="1"/>
    </xf>
    <xf numFmtId="166" fontId="1" fillId="0" borderId="1" xfId="2" applyNumberFormat="1" applyFont="1" applyBorder="1" applyAlignment="1">
      <alignment vertical="center" wrapText="1"/>
    </xf>
    <xf numFmtId="166" fontId="0" fillId="0" borderId="1" xfId="2" applyNumberFormat="1" applyFont="1" applyFill="1" applyBorder="1" applyAlignment="1">
      <alignment vertical="center" wrapText="1"/>
    </xf>
    <xf numFmtId="166" fontId="1" fillId="4" borderId="1" xfId="2" applyNumberFormat="1" applyFont="1" applyFill="1" applyBorder="1" applyAlignment="1">
      <alignment vertical="center" wrapText="1"/>
    </xf>
    <xf numFmtId="166" fontId="3" fillId="3" borderId="22" xfId="2" applyNumberFormat="1" applyFont="1" applyFill="1" applyBorder="1" applyAlignment="1">
      <alignment horizontal="center" vertical="center" wrapText="1"/>
    </xf>
    <xf numFmtId="166" fontId="0" fillId="2" borderId="22" xfId="2" applyNumberFormat="1" applyFont="1" applyFill="1" applyBorder="1"/>
    <xf numFmtId="166" fontId="3" fillId="3" borderId="26" xfId="2" applyNumberFormat="1" applyFont="1" applyFill="1" applyBorder="1" applyAlignment="1">
      <alignment horizontal="center" vertical="center" wrapText="1"/>
    </xf>
    <xf numFmtId="165" fontId="3" fillId="3" borderId="24" xfId="0" applyNumberFormat="1" applyFont="1" applyFill="1" applyBorder="1" applyAlignment="1">
      <alignment horizontal="center" vertical="center" wrapText="1"/>
    </xf>
    <xf numFmtId="165" fontId="0" fillId="0" borderId="24" xfId="0" applyNumberFormat="1" applyFill="1" applyBorder="1" applyAlignment="1">
      <alignment horizontal="center" vertical="center" wrapText="1"/>
    </xf>
    <xf numFmtId="166" fontId="24" fillId="6" borderId="48" xfId="2" applyNumberFormat="1" applyFont="1" applyFill="1" applyBorder="1" applyAlignment="1">
      <alignment horizontal="left" vertical="center" wrapText="1"/>
    </xf>
    <xf numFmtId="43" fontId="24" fillId="6" borderId="49" xfId="2" applyFont="1" applyFill="1" applyBorder="1" applyAlignment="1">
      <alignment horizontal="left" vertical="center" wrapText="1"/>
    </xf>
    <xf numFmtId="166" fontId="24" fillId="6" borderId="51" xfId="2" applyNumberFormat="1" applyFont="1" applyFill="1" applyBorder="1" applyAlignment="1">
      <alignment horizontal="left" vertical="center" wrapText="1"/>
    </xf>
    <xf numFmtId="43" fontId="24" fillId="6" borderId="52" xfId="2" applyNumberFormat="1" applyFont="1" applyFill="1" applyBorder="1" applyAlignment="1">
      <alignment horizontal="center" vertical="center" wrapText="1"/>
    </xf>
    <xf numFmtId="166" fontId="0" fillId="0" borderId="22" xfId="2" applyNumberFormat="1" applyFont="1" applyFill="1" applyBorder="1" applyAlignment="1">
      <alignment vertical="center" wrapText="1"/>
    </xf>
    <xf numFmtId="166" fontId="1" fillId="0" borderId="1" xfId="2" applyNumberFormat="1" applyFont="1" applyFill="1" applyBorder="1" applyAlignment="1">
      <alignment vertical="center" wrapText="1"/>
    </xf>
    <xf numFmtId="41" fontId="19" fillId="0" borderId="1" xfId="0" applyNumberFormat="1" applyFont="1" applyFill="1" applyBorder="1" applyAlignment="1">
      <alignment vertical="center"/>
    </xf>
    <xf numFmtId="41" fontId="18" fillId="0" borderId="1" xfId="0" applyNumberFormat="1" applyFont="1" applyFill="1" applyBorder="1" applyAlignment="1">
      <alignment vertical="center"/>
    </xf>
    <xf numFmtId="41" fontId="23" fillId="0" borderId="35" xfId="0" applyNumberFormat="1" applyFont="1" applyFill="1" applyBorder="1" applyAlignment="1">
      <alignment horizontal="right" vertical="center" wrapText="1"/>
    </xf>
    <xf numFmtId="166" fontId="0" fillId="2" borderId="1" xfId="2" applyNumberFormat="1" applyFont="1" applyFill="1" applyBorder="1" applyAlignment="1">
      <alignment vertical="center" wrapText="1"/>
    </xf>
    <xf numFmtId="0" fontId="1" fillId="0" borderId="0" xfId="0" applyFont="1" applyBorder="1"/>
    <xf numFmtId="4" fontId="0" fillId="0" borderId="0" xfId="0" applyNumberFormat="1" applyFont="1" applyBorder="1" applyAlignment="1">
      <alignment horizontal="right"/>
    </xf>
    <xf numFmtId="4" fontId="41" fillId="0" borderId="0" xfId="0" applyNumberFormat="1" applyFont="1" applyBorder="1" applyAlignment="1">
      <alignment horizontal="right"/>
    </xf>
    <xf numFmtId="0" fontId="36" fillId="3" borderId="1" xfId="0" applyFont="1" applyFill="1" applyBorder="1" applyAlignment="1">
      <alignment vertical="center" wrapText="1"/>
    </xf>
    <xf numFmtId="41" fontId="36" fillId="3" borderId="1" xfId="0" applyNumberFormat="1" applyFont="1" applyFill="1" applyBorder="1" applyAlignment="1">
      <alignment vertical="center" wrapText="1"/>
    </xf>
    <xf numFmtId="164" fontId="36" fillId="3" borderId="1" xfId="0" applyNumberFormat="1" applyFont="1" applyFill="1" applyBorder="1" applyAlignment="1">
      <alignment vertical="center" wrapText="1"/>
    </xf>
    <xf numFmtId="0" fontId="36" fillId="4" borderId="1" xfId="0" applyFont="1" applyFill="1" applyBorder="1" applyAlignment="1">
      <alignment vertical="center" wrapText="1"/>
    </xf>
    <xf numFmtId="41" fontId="36" fillId="4" borderId="1" xfId="0" applyNumberFormat="1" applyFont="1" applyFill="1" applyBorder="1" applyAlignment="1">
      <alignment vertical="center" wrapText="1"/>
    </xf>
    <xf numFmtId="164" fontId="36" fillId="4" borderId="1" xfId="0" applyNumberFormat="1" applyFont="1" applyFill="1" applyBorder="1" applyAlignment="1">
      <alignment vertical="center" wrapText="1"/>
    </xf>
    <xf numFmtId="0" fontId="36" fillId="0" borderId="1" xfId="0" applyFont="1" applyBorder="1" applyAlignment="1">
      <alignment vertical="center" wrapText="1"/>
    </xf>
    <xf numFmtId="41" fontId="36" fillId="0" borderId="1" xfId="0" applyNumberFormat="1" applyFont="1" applyBorder="1" applyAlignment="1">
      <alignment vertical="center" wrapText="1"/>
    </xf>
    <xf numFmtId="164" fontId="36" fillId="0" borderId="1" xfId="0" applyNumberFormat="1" applyFont="1" applyBorder="1" applyAlignment="1">
      <alignment vertical="center" wrapText="1"/>
    </xf>
    <xf numFmtId="0" fontId="42" fillId="3" borderId="3" xfId="0" applyFont="1" applyFill="1" applyBorder="1" applyAlignment="1">
      <alignment horizontal="center" vertical="center" wrapText="1"/>
    </xf>
    <xf numFmtId="0" fontId="22" fillId="3" borderId="23" xfId="0" applyFont="1" applyFill="1" applyBorder="1" applyAlignment="1">
      <alignment horizontal="center" vertical="center" wrapText="1"/>
    </xf>
    <xf numFmtId="0" fontId="41" fillId="0" borderId="1" xfId="0" applyFont="1" applyFill="1" applyBorder="1" applyAlignment="1">
      <alignment vertical="center" wrapText="1"/>
    </xf>
    <xf numFmtId="41" fontId="41" fillId="0" borderId="1" xfId="0" applyNumberFormat="1" applyFont="1" applyFill="1" applyBorder="1" applyAlignment="1">
      <alignment vertical="center" wrapText="1"/>
    </xf>
    <xf numFmtId="164" fontId="41" fillId="0" borderId="1" xfId="0" applyNumberFormat="1" applyFont="1" applyBorder="1" applyAlignment="1">
      <alignment vertical="center" wrapText="1"/>
    </xf>
    <xf numFmtId="41" fontId="41" fillId="0" borderId="1" xfId="0" applyNumberFormat="1" applyFont="1" applyBorder="1" applyAlignment="1">
      <alignment vertical="center" wrapText="1"/>
    </xf>
    <xf numFmtId="0" fontId="36" fillId="0" borderId="1" xfId="0" applyFont="1" applyFill="1" applyBorder="1" applyAlignment="1">
      <alignment vertical="center" wrapText="1"/>
    </xf>
    <xf numFmtId="41" fontId="36" fillId="0" borderId="1" xfId="0" applyNumberFormat="1" applyFont="1" applyFill="1" applyBorder="1" applyAlignment="1">
      <alignment vertical="center" wrapText="1"/>
    </xf>
    <xf numFmtId="0" fontId="41" fillId="0" borderId="1" xfId="0" applyFont="1" applyBorder="1" applyAlignment="1">
      <alignment horizontal="center" vertical="center" wrapText="1"/>
    </xf>
    <xf numFmtId="0" fontId="41" fillId="3" borderId="1" xfId="0" applyFont="1" applyFill="1" applyBorder="1" applyAlignment="1">
      <alignment horizontal="center" vertical="center" wrapText="1"/>
    </xf>
    <xf numFmtId="0" fontId="41" fillId="4"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4" borderId="1" xfId="0" applyFont="1" applyFill="1" applyBorder="1" applyAlignment="1">
      <alignment horizontal="center" vertical="center" wrapText="1"/>
    </xf>
    <xf numFmtId="166" fontId="3" fillId="2" borderId="22" xfId="2" quotePrefix="1" applyNumberFormat="1" applyFont="1" applyFill="1" applyBorder="1" applyAlignment="1">
      <alignment horizontal="right" vertical="center" wrapText="1"/>
    </xf>
    <xf numFmtId="0" fontId="37" fillId="2" borderId="23" xfId="0" applyFont="1" applyFill="1" applyBorder="1"/>
    <xf numFmtId="4" fontId="38" fillId="2" borderId="22" xfId="0" applyNumberFormat="1" applyFont="1" applyFill="1" applyBorder="1" applyAlignment="1">
      <alignment horizontal="right"/>
    </xf>
    <xf numFmtId="4" fontId="38" fillId="0" borderId="22" xfId="0" applyNumberFormat="1" applyFont="1" applyFill="1" applyBorder="1" applyAlignment="1">
      <alignment horizontal="right"/>
    </xf>
    <xf numFmtId="4" fontId="39" fillId="0" borderId="22" xfId="0" applyNumberFormat="1" applyFont="1" applyFill="1" applyBorder="1" applyAlignment="1">
      <alignment horizontal="right"/>
    </xf>
    <xf numFmtId="4" fontId="37" fillId="0" borderId="0" xfId="0" applyNumberFormat="1" applyFont="1" applyFill="1" applyBorder="1" applyAlignment="1">
      <alignment horizontal="center" vertical="center"/>
    </xf>
    <xf numFmtId="4" fontId="37" fillId="0" borderId="0" xfId="0" applyNumberFormat="1" applyFont="1" applyFill="1" applyBorder="1" applyAlignment="1">
      <alignment horizontal="center"/>
    </xf>
    <xf numFmtId="4" fontId="40" fillId="0" borderId="0" xfId="0" applyNumberFormat="1" applyFont="1" applyFill="1" applyBorder="1" applyAlignment="1">
      <alignment horizontal="center"/>
    </xf>
    <xf numFmtId="4" fontId="37" fillId="0" borderId="0" xfId="0" applyNumberFormat="1" applyFont="1" applyFill="1" applyBorder="1" applyAlignment="1"/>
    <xf numFmtId="0" fontId="45" fillId="9" borderId="67" xfId="0" applyFont="1" applyFill="1" applyBorder="1" applyAlignment="1">
      <alignment horizontal="center" vertical="center"/>
    </xf>
    <xf numFmtId="4" fontId="45" fillId="9" borderId="32" xfId="0" applyNumberFormat="1" applyFont="1" applyFill="1" applyBorder="1" applyAlignment="1">
      <alignment horizontal="right" vertical="center"/>
    </xf>
    <xf numFmtId="4" fontId="45" fillId="9" borderId="67" xfId="0" applyNumberFormat="1" applyFont="1" applyFill="1" applyBorder="1" applyAlignment="1">
      <alignment horizontal="right" vertical="center"/>
    </xf>
    <xf numFmtId="0" fontId="0" fillId="0" borderId="0" xfId="0"/>
    <xf numFmtId="0" fontId="46" fillId="10" borderId="31" xfId="0" applyFont="1" applyFill="1" applyBorder="1" applyAlignment="1">
      <alignment vertical="center"/>
    </xf>
    <xf numFmtId="0" fontId="0" fillId="0" borderId="0" xfId="0"/>
    <xf numFmtId="0" fontId="45" fillId="10" borderId="67" xfId="0" applyFont="1" applyFill="1" applyBorder="1" applyAlignment="1">
      <alignment horizontal="center" vertical="center"/>
    </xf>
    <xf numFmtId="0" fontId="37" fillId="0" borderId="65" xfId="0" applyFont="1" applyFill="1" applyBorder="1"/>
    <xf numFmtId="4" fontId="37" fillId="0" borderId="66" xfId="0" applyNumberFormat="1" applyFont="1" applyFill="1" applyBorder="1" applyAlignment="1">
      <alignment horizontal="center" vertical="center"/>
    </xf>
    <xf numFmtId="4" fontId="37" fillId="0" borderId="66" xfId="0" applyNumberFormat="1" applyFont="1" applyFill="1" applyBorder="1" applyAlignment="1">
      <alignment horizontal="center"/>
    </xf>
    <xf numFmtId="4" fontId="40" fillId="0" borderId="66" xfId="0" applyNumberFormat="1" applyFont="1" applyFill="1" applyBorder="1" applyAlignment="1">
      <alignment horizontal="center"/>
    </xf>
    <xf numFmtId="0" fontId="37" fillId="2" borderId="22" xfId="0" applyFont="1" applyFill="1" applyBorder="1"/>
    <xf numFmtId="0" fontId="37" fillId="8" borderId="22" xfId="0" applyFont="1" applyFill="1" applyBorder="1"/>
    <xf numFmtId="4" fontId="37" fillId="8" borderId="22" xfId="0" applyNumberFormat="1" applyFont="1" applyFill="1" applyBorder="1" applyAlignment="1">
      <alignment horizontal="right" vertical="center"/>
    </xf>
    <xf numFmtId="4" fontId="40" fillId="8" borderId="22" xfId="0" applyNumberFormat="1" applyFont="1" applyFill="1" applyBorder="1" applyAlignment="1">
      <alignment horizontal="right" vertical="center"/>
    </xf>
    <xf numFmtId="0" fontId="37" fillId="2" borderId="19" xfId="0" applyFont="1" applyFill="1" applyBorder="1"/>
    <xf numFmtId="4" fontId="38" fillId="2" borderId="19" xfId="0" applyNumberFormat="1" applyFont="1" applyFill="1" applyBorder="1" applyAlignment="1">
      <alignment horizontal="right"/>
    </xf>
    <xf numFmtId="4" fontId="38" fillId="0" borderId="19" xfId="0" applyNumberFormat="1" applyFont="1" applyFill="1" applyBorder="1" applyAlignment="1">
      <alignment horizontal="right"/>
    </xf>
    <xf numFmtId="0" fontId="37" fillId="2" borderId="30" xfId="0" applyFont="1" applyFill="1" applyBorder="1"/>
    <xf numFmtId="166" fontId="15" fillId="0" borderId="2" xfId="2" applyNumberFormat="1" applyFont="1" applyBorder="1" applyAlignment="1">
      <alignment horizontal="center" vertical="center"/>
    </xf>
    <xf numFmtId="166" fontId="15" fillId="0" borderId="3" xfId="2" applyNumberFormat="1" applyFont="1" applyBorder="1" applyAlignment="1">
      <alignment horizontal="center" vertical="center"/>
    </xf>
    <xf numFmtId="166" fontId="15" fillId="5" borderId="3" xfId="2" applyNumberFormat="1" applyFont="1" applyFill="1" applyBorder="1" applyAlignment="1">
      <alignment horizontal="center" vertical="center"/>
    </xf>
    <xf numFmtId="166" fontId="15" fillId="0" borderId="69" xfId="2" applyNumberFormat="1" applyFont="1" applyBorder="1" applyAlignment="1">
      <alignment horizontal="center" vertical="center"/>
    </xf>
    <xf numFmtId="166" fontId="15" fillId="0" borderId="19" xfId="2" applyNumberFormat="1" applyFont="1" applyBorder="1" applyAlignment="1">
      <alignment horizontal="center" vertical="center"/>
    </xf>
    <xf numFmtId="166" fontId="15" fillId="0" borderId="68" xfId="2" applyNumberFormat="1" applyFont="1" applyBorder="1" applyAlignment="1">
      <alignment horizontal="center" vertical="center"/>
    </xf>
    <xf numFmtId="43" fontId="16" fillId="3" borderId="67" xfId="0" applyNumberFormat="1" applyFont="1" applyFill="1" applyBorder="1" applyAlignment="1">
      <alignment horizontal="center" vertical="center"/>
    </xf>
    <xf numFmtId="43" fontId="16" fillId="5" borderId="67" xfId="0" applyNumberFormat="1" applyFont="1" applyFill="1" applyBorder="1" applyAlignment="1">
      <alignment horizontal="center" vertical="center"/>
    </xf>
    <xf numFmtId="166" fontId="21" fillId="5" borderId="67" xfId="2" applyNumberFormat="1" applyFont="1" applyFill="1" applyBorder="1" applyAlignment="1">
      <alignment horizontal="center" vertical="center" wrapText="1"/>
    </xf>
    <xf numFmtId="166" fontId="21" fillId="2" borderId="67" xfId="2" applyNumberFormat="1" applyFont="1" applyFill="1" applyBorder="1" applyAlignment="1">
      <alignment vertical="center" wrapText="1"/>
    </xf>
    <xf numFmtId="166" fontId="21" fillId="5" borderId="67" xfId="2" applyNumberFormat="1" applyFont="1" applyFill="1" applyBorder="1" applyAlignment="1">
      <alignment vertical="center" wrapText="1"/>
    </xf>
    <xf numFmtId="166" fontId="15" fillId="0" borderId="64" xfId="2" applyNumberFormat="1" applyFont="1" applyBorder="1" applyAlignment="1">
      <alignment horizontal="center" vertical="center"/>
    </xf>
    <xf numFmtId="166" fontId="15" fillId="5" borderId="5" xfId="2" applyNumberFormat="1" applyFont="1" applyFill="1" applyBorder="1" applyAlignment="1">
      <alignment horizontal="center" vertical="center"/>
    </xf>
    <xf numFmtId="166" fontId="15" fillId="0" borderId="9" xfId="2" applyNumberFormat="1" applyFont="1" applyBorder="1" applyAlignment="1">
      <alignment horizontal="center" vertical="center"/>
    </xf>
    <xf numFmtId="43" fontId="16" fillId="3" borderId="45" xfId="0" applyNumberFormat="1" applyFont="1" applyFill="1" applyBorder="1" applyAlignment="1">
      <alignment horizontal="center" vertical="center"/>
    </xf>
    <xf numFmtId="43" fontId="16" fillId="5" borderId="29" xfId="0" applyNumberFormat="1" applyFont="1" applyFill="1" applyBorder="1" applyAlignment="1">
      <alignment horizontal="center" vertical="center"/>
    </xf>
    <xf numFmtId="166" fontId="21" fillId="5" borderId="29" xfId="2" applyNumberFormat="1" applyFont="1" applyFill="1" applyBorder="1" applyAlignment="1">
      <alignment horizontal="center" vertical="center" wrapText="1"/>
    </xf>
    <xf numFmtId="49" fontId="16" fillId="3" borderId="67" xfId="0" applyNumberFormat="1" applyFont="1" applyFill="1" applyBorder="1" applyAlignment="1">
      <alignment horizontal="center" vertical="center"/>
    </xf>
    <xf numFmtId="166" fontId="15" fillId="0" borderId="2" xfId="2" applyNumberFormat="1" applyFont="1" applyFill="1" applyBorder="1" applyAlignment="1">
      <alignment horizontal="center" vertical="center"/>
    </xf>
    <xf numFmtId="166" fontId="12" fillId="5" borderId="5" xfId="2" applyNumberFormat="1" applyFont="1" applyFill="1" applyBorder="1" applyAlignment="1">
      <alignment vertical="center"/>
    </xf>
    <xf numFmtId="166" fontId="47" fillId="5" borderId="67" xfId="2" applyNumberFormat="1" applyFont="1" applyFill="1" applyBorder="1" applyAlignment="1">
      <alignment horizontal="center" vertical="center" wrapText="1"/>
    </xf>
    <xf numFmtId="166" fontId="48" fillId="2" borderId="67" xfId="2" applyNumberFormat="1" applyFont="1" applyFill="1" applyBorder="1" applyAlignment="1">
      <alignment vertical="center" wrapText="1"/>
    </xf>
    <xf numFmtId="166" fontId="48" fillId="5" borderId="67" xfId="2" applyNumberFormat="1" applyFont="1" applyFill="1" applyBorder="1" applyAlignment="1">
      <alignment vertical="center" wrapText="1"/>
    </xf>
    <xf numFmtId="0" fontId="1" fillId="4" borderId="22" xfId="0" applyFont="1" applyFill="1" applyBorder="1"/>
    <xf numFmtId="4" fontId="1" fillId="4" borderId="22" xfId="0" applyNumberFormat="1" applyFont="1" applyFill="1" applyBorder="1" applyAlignment="1">
      <alignment horizontal="right" vertical="center"/>
    </xf>
    <xf numFmtId="0" fontId="0" fillId="0" borderId="0" xfId="0"/>
    <xf numFmtId="43" fontId="38" fillId="2" borderId="19" xfId="2" applyFont="1" applyFill="1" applyBorder="1" applyAlignment="1">
      <alignment horizontal="right"/>
    </xf>
    <xf numFmtId="43" fontId="38" fillId="2" borderId="22" xfId="2" applyFont="1" applyFill="1" applyBorder="1" applyAlignment="1">
      <alignment horizontal="right"/>
    </xf>
    <xf numFmtId="43" fontId="38" fillId="2" borderId="22" xfId="2" applyFont="1" applyFill="1" applyBorder="1" applyAlignment="1">
      <alignment horizontal="right" vertical="center"/>
    </xf>
    <xf numFmtId="43" fontId="38" fillId="0" borderId="22" xfId="2" applyFont="1" applyFill="1" applyBorder="1" applyAlignment="1">
      <alignment horizontal="right"/>
    </xf>
    <xf numFmtId="43" fontId="39" fillId="0" borderId="22" xfId="2" applyFont="1" applyFill="1" applyBorder="1" applyAlignment="1">
      <alignment horizontal="right"/>
    </xf>
    <xf numFmtId="43" fontId="39" fillId="2" borderId="22" xfId="2" applyFont="1" applyFill="1" applyBorder="1" applyAlignment="1">
      <alignment horizontal="right"/>
    </xf>
    <xf numFmtId="43" fontId="0" fillId="0" borderId="22" xfId="2" applyFont="1" applyBorder="1"/>
    <xf numFmtId="43" fontId="0" fillId="2" borderId="22" xfId="2" applyFont="1" applyFill="1" applyBorder="1"/>
    <xf numFmtId="43" fontId="41" fillId="0" borderId="22" xfId="2" applyFont="1" applyBorder="1"/>
    <xf numFmtId="0" fontId="0" fillId="0" borderId="0" xfId="0"/>
    <xf numFmtId="4" fontId="39" fillId="2" borderId="19" xfId="0" applyNumberFormat="1" applyFont="1" applyFill="1" applyBorder="1" applyAlignment="1">
      <alignment horizontal="right"/>
    </xf>
    <xf numFmtId="0" fontId="0" fillId="0" borderId="0" xfId="0" applyFill="1"/>
    <xf numFmtId="0" fontId="0" fillId="0" borderId="0" xfId="0"/>
    <xf numFmtId="4" fontId="0" fillId="0" borderId="0" xfId="0" applyNumberFormat="1"/>
    <xf numFmtId="43" fontId="38" fillId="0" borderId="19" xfId="2" applyFont="1" applyFill="1" applyBorder="1" applyAlignment="1">
      <alignment horizontal="right" vertical="center"/>
    </xf>
    <xf numFmtId="43" fontId="38" fillId="0" borderId="22" xfId="2" applyFont="1" applyFill="1" applyBorder="1" applyAlignment="1">
      <alignment horizontal="right" vertical="center"/>
    </xf>
    <xf numFmtId="0" fontId="1" fillId="11" borderId="1" xfId="0" applyFont="1" applyFill="1" applyBorder="1" applyAlignment="1">
      <alignment vertical="center" wrapText="1"/>
    </xf>
    <xf numFmtId="41" fontId="1" fillId="11" borderId="1" xfId="0" applyNumberFormat="1" applyFont="1" applyFill="1" applyBorder="1" applyAlignment="1">
      <alignment vertical="center" wrapText="1"/>
    </xf>
    <xf numFmtId="166" fontId="1" fillId="11" borderId="1" xfId="2" applyNumberFormat="1" applyFont="1" applyFill="1" applyBorder="1" applyAlignment="1">
      <alignment vertical="center" wrapText="1"/>
    </xf>
    <xf numFmtId="164" fontId="1" fillId="11" borderId="1" xfId="0" applyNumberFormat="1" applyFont="1" applyFill="1" applyBorder="1" applyAlignment="1">
      <alignment vertical="center" wrapText="1"/>
    </xf>
    <xf numFmtId="0" fontId="0" fillId="11" borderId="1" xfId="0" applyFont="1" applyFill="1" applyBorder="1" applyAlignment="1">
      <alignment horizontal="center" vertical="center" wrapText="1"/>
    </xf>
    <xf numFmtId="0" fontId="0" fillId="3" borderId="1" xfId="0" applyFill="1" applyBorder="1" applyAlignment="1">
      <alignment vertical="center" wrapText="1"/>
    </xf>
    <xf numFmtId="41" fontId="0" fillId="3" borderId="1" xfId="0" applyNumberFormat="1" applyFill="1" applyBorder="1" applyAlignment="1">
      <alignment vertical="center" wrapText="1"/>
    </xf>
    <xf numFmtId="166" fontId="0" fillId="3" borderId="1" xfId="2" applyNumberFormat="1" applyFont="1" applyFill="1" applyBorder="1" applyAlignment="1">
      <alignment vertical="center" wrapText="1"/>
    </xf>
    <xf numFmtId="164" fontId="0" fillId="3" borderId="1" xfId="0" applyNumberFormat="1" applyFill="1" applyBorder="1" applyAlignment="1">
      <alignment vertical="center" wrapText="1"/>
    </xf>
    <xf numFmtId="41" fontId="19" fillId="2" borderId="0" xfId="0" applyNumberFormat="1" applyFont="1" applyFill="1"/>
    <xf numFmtId="0" fontId="0" fillId="0" borderId="0" xfId="0"/>
    <xf numFmtId="43" fontId="0" fillId="0" borderId="22" xfId="2" applyFont="1" applyFill="1" applyBorder="1"/>
    <xf numFmtId="0" fontId="0" fillId="0" borderId="0" xfId="0"/>
    <xf numFmtId="0" fontId="0" fillId="0" borderId="0" xfId="0"/>
    <xf numFmtId="0" fontId="0" fillId="0" borderId="22" xfId="0" applyFill="1" applyBorder="1" applyAlignment="1">
      <alignment vertical="center" wrapText="1"/>
    </xf>
    <xf numFmtId="41" fontId="0" fillId="0" borderId="22" xfId="0" applyNumberFormat="1" applyFill="1" applyBorder="1" applyAlignment="1">
      <alignment vertical="center" wrapText="1"/>
    </xf>
    <xf numFmtId="164" fontId="0" fillId="0" borderId="22" xfId="0" applyNumberFormat="1" applyBorder="1" applyAlignment="1">
      <alignment vertical="center" wrapText="1"/>
    </xf>
    <xf numFmtId="41" fontId="0" fillId="0" borderId="22" xfId="0" applyNumberFormat="1" applyBorder="1" applyAlignment="1">
      <alignment vertical="center" wrapText="1"/>
    </xf>
    <xf numFmtId="0" fontId="0" fillId="0" borderId="22" xfId="0" applyFont="1" applyBorder="1" applyAlignment="1">
      <alignment horizontal="center" vertical="center" wrapText="1"/>
    </xf>
    <xf numFmtId="0" fontId="1" fillId="0" borderId="22" xfId="0" applyFont="1" applyBorder="1" applyAlignment="1">
      <alignment vertical="center" wrapText="1"/>
    </xf>
    <xf numFmtId="41" fontId="1" fillId="0" borderId="22" xfId="0" applyNumberFormat="1" applyFont="1" applyBorder="1" applyAlignment="1">
      <alignment vertical="center" wrapText="1"/>
    </xf>
    <xf numFmtId="166" fontId="1" fillId="0" borderId="22" xfId="2" applyNumberFormat="1" applyFont="1" applyBorder="1" applyAlignment="1">
      <alignment vertical="center" wrapText="1"/>
    </xf>
    <xf numFmtId="164" fontId="1" fillId="0" borderId="22" xfId="0" applyNumberFormat="1" applyFont="1" applyBorder="1" applyAlignment="1">
      <alignment vertical="center" wrapText="1"/>
    </xf>
    <xf numFmtId="166" fontId="0" fillId="2" borderId="22" xfId="2" applyNumberFormat="1" applyFont="1" applyFill="1" applyBorder="1" applyAlignment="1">
      <alignment vertical="center" wrapText="1"/>
    </xf>
    <xf numFmtId="43" fontId="39" fillId="2" borderId="19" xfId="2" applyFont="1" applyFill="1" applyBorder="1" applyAlignment="1">
      <alignment horizontal="right"/>
    </xf>
    <xf numFmtId="43" fontId="39" fillId="2" borderId="22" xfId="2" applyFont="1" applyFill="1" applyBorder="1" applyAlignment="1">
      <alignment horizontal="right" vertical="center"/>
    </xf>
    <xf numFmtId="0" fontId="0" fillId="0" borderId="0" xfId="0"/>
    <xf numFmtId="166" fontId="12" fillId="2" borderId="47" xfId="2" applyNumberFormat="1" applyFont="1" applyFill="1" applyBorder="1" applyAlignment="1">
      <alignment vertical="center"/>
    </xf>
    <xf numFmtId="166" fontId="12" fillId="2" borderId="35" xfId="2" applyNumberFormat="1" applyFont="1" applyFill="1" applyBorder="1" applyAlignment="1">
      <alignment vertical="center"/>
    </xf>
    <xf numFmtId="166" fontId="12" fillId="2" borderId="38" xfId="2" applyNumberFormat="1" applyFont="1" applyFill="1" applyBorder="1" applyAlignment="1">
      <alignment vertical="center"/>
    </xf>
    <xf numFmtId="166" fontId="12" fillId="5" borderId="50" xfId="2" applyNumberFormat="1" applyFont="1" applyFill="1" applyBorder="1" applyAlignment="1">
      <alignment vertical="center"/>
    </xf>
    <xf numFmtId="166" fontId="12" fillId="5" borderId="26" xfId="2" applyNumberFormat="1" applyFont="1" applyFill="1" applyBorder="1" applyAlignment="1">
      <alignment vertical="center"/>
    </xf>
    <xf numFmtId="166" fontId="15" fillId="5" borderId="50" xfId="2" applyNumberFormat="1" applyFont="1" applyFill="1" applyBorder="1" applyAlignment="1">
      <alignment horizontal="center" vertical="center"/>
    </xf>
    <xf numFmtId="166" fontId="15" fillId="5" borderId="26" xfId="2" applyNumberFormat="1" applyFont="1" applyFill="1" applyBorder="1" applyAlignment="1">
      <alignment horizontal="center" vertical="center"/>
    </xf>
    <xf numFmtId="166" fontId="15" fillId="0" borderId="34" xfId="2" applyNumberFormat="1" applyFont="1" applyBorder="1" applyAlignment="1">
      <alignment horizontal="center" vertical="center"/>
    </xf>
    <xf numFmtId="166" fontId="15" fillId="0" borderId="35" xfId="2" applyNumberFormat="1" applyFont="1" applyBorder="1" applyAlignment="1">
      <alignment horizontal="center" vertical="center"/>
    </xf>
    <xf numFmtId="166" fontId="15" fillId="0" borderId="38" xfId="2" applyNumberFormat="1" applyFont="1" applyBorder="1" applyAlignment="1">
      <alignment horizontal="center" vertical="center"/>
    </xf>
    <xf numFmtId="166" fontId="15" fillId="5" borderId="23" xfId="2" applyNumberFormat="1" applyFont="1" applyFill="1" applyBorder="1" applyAlignment="1">
      <alignment horizontal="center" vertical="center"/>
    </xf>
    <xf numFmtId="166" fontId="15" fillId="0" borderId="23" xfId="2" applyNumberFormat="1" applyFont="1" applyBorder="1" applyAlignment="1">
      <alignment horizontal="center" vertical="center"/>
    </xf>
    <xf numFmtId="166" fontId="15" fillId="5" borderId="25" xfId="2" applyNumberFormat="1" applyFont="1" applyFill="1" applyBorder="1" applyAlignment="1">
      <alignment horizontal="center" vertical="center"/>
    </xf>
    <xf numFmtId="166" fontId="15" fillId="5" borderId="39" xfId="2" applyNumberFormat="1" applyFont="1" applyFill="1" applyBorder="1" applyAlignment="1">
      <alignment horizontal="center" vertical="center"/>
    </xf>
    <xf numFmtId="166" fontId="21" fillId="5" borderId="41" xfId="2" applyNumberFormat="1" applyFont="1" applyFill="1" applyBorder="1" applyAlignment="1">
      <alignment vertical="center" wrapText="1"/>
    </xf>
    <xf numFmtId="0" fontId="10" fillId="2" borderId="23" xfId="0"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2" xfId="0" applyFont="1" applyFill="1" applyBorder="1" applyAlignment="1">
      <alignment horizontal="left" vertical="center" wrapText="1"/>
    </xf>
    <xf numFmtId="166" fontId="6" fillId="2" borderId="22" xfId="0" applyNumberFormat="1" applyFont="1" applyFill="1" applyBorder="1" applyAlignment="1">
      <alignment horizontal="center" vertical="center" wrapText="1"/>
    </xf>
    <xf numFmtId="165" fontId="41" fillId="2" borderId="22" xfId="0" applyNumberFormat="1" applyFont="1" applyFill="1" applyBorder="1" applyAlignment="1">
      <alignment horizontal="center" vertical="center" wrapText="1"/>
    </xf>
    <xf numFmtId="166" fontId="41" fillId="2" borderId="22" xfId="2" applyNumberFormat="1" applyFont="1" applyFill="1" applyBorder="1" applyAlignment="1">
      <alignment vertical="center" wrapText="1"/>
    </xf>
    <xf numFmtId="3" fontId="6" fillId="2" borderId="22" xfId="0" applyNumberFormat="1" applyFont="1" applyFill="1" applyBorder="1" applyAlignment="1">
      <alignment horizontal="right" vertical="center" wrapText="1"/>
    </xf>
    <xf numFmtId="165" fontId="0" fillId="2" borderId="22" xfId="0" applyNumberFormat="1" applyFill="1" applyBorder="1" applyAlignment="1">
      <alignment horizontal="center" vertical="center" wrapText="1"/>
    </xf>
    <xf numFmtId="41" fontId="19" fillId="2" borderId="22" xfId="0" applyNumberFormat="1" applyFont="1" applyFill="1" applyBorder="1" applyAlignment="1">
      <alignment vertical="center"/>
    </xf>
    <xf numFmtId="0" fontId="37" fillId="2" borderId="70" xfId="0" applyFont="1" applyFill="1" applyBorder="1"/>
    <xf numFmtId="43" fontId="38" fillId="0" borderId="19" xfId="2" applyFont="1" applyFill="1" applyBorder="1" applyAlignment="1">
      <alignment horizontal="right"/>
    </xf>
    <xf numFmtId="166" fontId="41" fillId="0" borderId="22" xfId="2" applyNumberFormat="1" applyFont="1" applyFill="1" applyBorder="1" applyAlignment="1">
      <alignment vertical="center" wrapText="1"/>
    </xf>
    <xf numFmtId="166" fontId="41" fillId="0" borderId="22" xfId="2" applyNumberFormat="1" applyFont="1" applyFill="1" applyBorder="1"/>
    <xf numFmtId="166" fontId="15" fillId="5" borderId="61" xfId="2" applyNumberFormat="1" applyFont="1" applyFill="1" applyBorder="1" applyAlignment="1">
      <alignment horizontal="center" vertical="center"/>
    </xf>
    <xf numFmtId="166" fontId="15" fillId="5" borderId="71" xfId="2" applyNumberFormat="1" applyFont="1" applyFill="1" applyBorder="1" applyAlignment="1">
      <alignment horizontal="center" vertical="center"/>
    </xf>
    <xf numFmtId="166" fontId="15" fillId="5" borderId="72" xfId="2" applyNumberFormat="1" applyFont="1" applyFill="1" applyBorder="1" applyAlignment="1">
      <alignment horizontal="center" vertical="center"/>
    </xf>
    <xf numFmtId="166" fontId="15" fillId="5" borderId="49" xfId="2" applyNumberFormat="1" applyFont="1" applyFill="1" applyBorder="1" applyAlignment="1">
      <alignment horizontal="center" vertical="center"/>
    </xf>
    <xf numFmtId="4" fontId="50" fillId="0" borderId="0" xfId="0" applyNumberFormat="1" applyFont="1"/>
    <xf numFmtId="41" fontId="27" fillId="6" borderId="57" xfId="0" applyNumberFormat="1" applyFont="1" applyFill="1" applyBorder="1" applyAlignment="1">
      <alignment horizontal="center" vertical="center" wrapText="1"/>
    </xf>
    <xf numFmtId="41" fontId="24" fillId="6" borderId="70" xfId="0" applyNumberFormat="1" applyFont="1" applyFill="1" applyBorder="1" applyAlignment="1">
      <alignment horizontal="center" vertical="center" wrapText="1"/>
    </xf>
    <xf numFmtId="41" fontId="24" fillId="6" borderId="73" xfId="0" applyNumberFormat="1" applyFont="1" applyFill="1" applyBorder="1" applyAlignment="1">
      <alignment horizontal="center" vertical="center" wrapText="1"/>
    </xf>
    <xf numFmtId="0" fontId="20"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41" fontId="24" fillId="2" borderId="0" xfId="0" applyNumberFormat="1" applyFont="1" applyFill="1" applyBorder="1" applyAlignment="1">
      <alignment horizontal="center" vertical="center" wrapText="1"/>
    </xf>
    <xf numFmtId="43" fontId="24" fillId="2" borderId="0" xfId="2" applyFont="1" applyFill="1" applyBorder="1" applyAlignment="1">
      <alignment horizontal="left" vertical="center" wrapText="1"/>
    </xf>
    <xf numFmtId="43" fontId="24" fillId="2" borderId="0" xfId="2" applyNumberFormat="1" applyFont="1" applyFill="1" applyBorder="1" applyAlignment="1">
      <alignment horizontal="center" vertical="center" wrapText="1"/>
    </xf>
    <xf numFmtId="41" fontId="27" fillId="2" borderId="0" xfId="0" applyNumberFormat="1" applyFont="1" applyFill="1" applyBorder="1" applyAlignment="1">
      <alignment horizontal="center" vertical="center" wrapText="1"/>
    </xf>
    <xf numFmtId="43" fontId="3" fillId="2" borderId="0" xfId="2" applyFont="1" applyFill="1" applyBorder="1" applyAlignment="1">
      <alignment horizontal="right" vertical="center" wrapText="1"/>
    </xf>
    <xf numFmtId="165" fontId="3" fillId="2" borderId="0" xfId="1" applyNumberFormat="1" applyFont="1" applyFill="1" applyBorder="1" applyAlignment="1">
      <alignment horizontal="right" vertical="center" wrapText="1"/>
    </xf>
    <xf numFmtId="0" fontId="18" fillId="2" borderId="0" xfId="0" applyFont="1" applyFill="1" applyBorder="1" applyAlignment="1">
      <alignment vertical="center" wrapText="1"/>
    </xf>
    <xf numFmtId="0" fontId="0" fillId="0" borderId="0" xfId="0"/>
    <xf numFmtId="166" fontId="0" fillId="0" borderId="0" xfId="2" applyNumberFormat="1" applyFont="1"/>
    <xf numFmtId="43" fontId="0" fillId="0" borderId="0" xfId="2" applyFont="1" applyFill="1"/>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20" fillId="6" borderId="0" xfId="0" applyFont="1" applyFill="1" applyBorder="1" applyAlignment="1">
      <alignment horizontal="center" vertical="center" wrapText="1"/>
    </xf>
    <xf numFmtId="0" fontId="18" fillId="2" borderId="0" xfId="0" applyFont="1" applyFill="1" applyBorder="1" applyAlignment="1">
      <alignment horizontal="left" vertical="center" wrapText="1"/>
    </xf>
    <xf numFmtId="0" fontId="24" fillId="6" borderId="40" xfId="0" applyFont="1" applyFill="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14" fontId="7" fillId="0" borderId="0" xfId="0" applyNumberFormat="1" applyFont="1" applyAlignment="1">
      <alignment horizontal="left" vertical="center" wrapText="1"/>
    </xf>
    <xf numFmtId="0" fontId="8" fillId="3" borderId="2"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0" borderId="0"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14" fontId="0" fillId="0" borderId="0" xfId="0" applyNumberFormat="1" applyAlignment="1">
      <alignment horizontal="left" vertical="center" wrapText="1"/>
    </xf>
    <xf numFmtId="0" fontId="0" fillId="0" borderId="6" xfId="0" applyBorder="1" applyAlignment="1">
      <alignment horizontal="center" vertical="center" wrapText="1"/>
    </xf>
    <xf numFmtId="0" fontId="1" fillId="3" borderId="1" xfId="0" applyFont="1" applyFill="1" applyBorder="1" applyAlignment="1">
      <alignment horizontal="center" vertical="center" wrapText="1"/>
    </xf>
    <xf numFmtId="0" fontId="20" fillId="6" borderId="28" xfId="0" applyFont="1" applyFill="1" applyBorder="1" applyAlignment="1">
      <alignment horizontal="center" vertical="center" wrapText="1"/>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2" borderId="28" xfId="0" applyFont="1" applyFill="1" applyBorder="1" applyAlignment="1">
      <alignment horizontal="left" vertical="center" wrapText="1"/>
    </xf>
    <xf numFmtId="0" fontId="21" fillId="3" borderId="31" xfId="0" applyFont="1" applyFill="1" applyBorder="1" applyAlignment="1">
      <alignment horizontal="left" vertical="center" wrapText="1"/>
    </xf>
    <xf numFmtId="0" fontId="21" fillId="3" borderId="32" xfId="0" applyFont="1" applyFill="1" applyBorder="1" applyAlignment="1">
      <alignment horizontal="left" vertical="center" wrapText="1"/>
    </xf>
    <xf numFmtId="0" fontId="21" fillId="3" borderId="33" xfId="0" applyFont="1" applyFill="1" applyBorder="1" applyAlignment="1">
      <alignment horizontal="left" vertical="center" wrapText="1"/>
    </xf>
    <xf numFmtId="166" fontId="13" fillId="3" borderId="22" xfId="2" applyNumberFormat="1" applyFont="1" applyFill="1" applyBorder="1" applyAlignment="1">
      <alignment horizontal="center" vertical="center" wrapText="1" readingOrder="1"/>
    </xf>
    <xf numFmtId="167" fontId="12" fillId="0" borderId="22" xfId="2" applyNumberFormat="1" applyFont="1" applyFill="1" applyBorder="1" applyAlignment="1">
      <alignment horizontal="center" vertical="center" readingOrder="1"/>
    </xf>
    <xf numFmtId="167" fontId="13" fillId="3" borderId="22" xfId="2" applyNumberFormat="1" applyFont="1" applyFill="1" applyBorder="1" applyAlignment="1">
      <alignment horizontal="center" vertical="center" readingOrder="1"/>
    </xf>
    <xf numFmtId="167" fontId="48" fillId="0" borderId="22" xfId="2" applyNumberFormat="1" applyFont="1" applyBorder="1" applyAlignment="1">
      <alignment horizontal="center" vertical="center" readingOrder="1"/>
    </xf>
    <xf numFmtId="167" fontId="13" fillId="0" borderId="22" xfId="2" applyNumberFormat="1" applyFont="1" applyBorder="1" applyAlignment="1">
      <alignment horizontal="center" vertical="center" readingOrder="1"/>
    </xf>
    <xf numFmtId="167" fontId="48" fillId="3" borderId="22" xfId="2" applyNumberFormat="1" applyFont="1" applyFill="1" applyBorder="1" applyAlignment="1">
      <alignment horizontal="center" vertical="center" readingOrder="1"/>
    </xf>
    <xf numFmtId="0" fontId="27" fillId="6" borderId="53" xfId="0" applyFont="1" applyFill="1" applyBorder="1" applyAlignment="1">
      <alignment horizontal="center" vertical="center" textRotation="90"/>
    </xf>
    <xf numFmtId="0" fontId="27" fillId="6" borderId="60" xfId="0" applyFont="1" applyFill="1" applyBorder="1" applyAlignment="1">
      <alignment horizontal="center" vertical="center" textRotation="90"/>
    </xf>
    <xf numFmtId="41" fontId="27" fillId="6" borderId="54" xfId="0" applyNumberFormat="1" applyFont="1" applyFill="1" applyBorder="1" applyAlignment="1">
      <alignment horizontal="center" vertical="center" wrapText="1"/>
    </xf>
    <xf numFmtId="41" fontId="27" fillId="6" borderId="55" xfId="0" applyNumberFormat="1" applyFont="1" applyFill="1" applyBorder="1" applyAlignment="1">
      <alignment horizontal="center" vertical="center" wrapText="1"/>
    </xf>
    <xf numFmtId="41" fontId="27" fillId="6" borderId="57" xfId="0" applyNumberFormat="1" applyFont="1" applyFill="1" applyBorder="1" applyAlignment="1">
      <alignment horizontal="center" vertical="center" wrapText="1"/>
    </xf>
    <xf numFmtId="0" fontId="3" fillId="7" borderId="30" xfId="0" applyFont="1" applyFill="1" applyBorder="1" applyAlignment="1">
      <alignment horizontal="center" vertical="center" wrapText="1"/>
    </xf>
    <xf numFmtId="0" fontId="3" fillId="7" borderId="23" xfId="0" applyFont="1" applyFill="1" applyBorder="1" applyAlignment="1">
      <alignment horizontal="center" vertical="center" wrapText="1"/>
    </xf>
    <xf numFmtId="0" fontId="1" fillId="7" borderId="28" xfId="0" applyFont="1" applyFill="1" applyBorder="1" applyAlignment="1">
      <alignment horizontal="justify" vertical="justify" wrapText="1"/>
    </xf>
    <xf numFmtId="0" fontId="1" fillId="7" borderId="12" xfId="0" applyFont="1" applyFill="1" applyBorder="1" applyAlignment="1">
      <alignment horizontal="justify" vertical="justify" wrapText="1"/>
    </xf>
    <xf numFmtId="0" fontId="1" fillId="7" borderId="63" xfId="0" applyFont="1" applyFill="1" applyBorder="1" applyAlignment="1">
      <alignment horizontal="justify" vertical="justify" wrapText="1"/>
    </xf>
    <xf numFmtId="0" fontId="1" fillId="7" borderId="64" xfId="0" applyFont="1" applyFill="1" applyBorder="1" applyAlignment="1">
      <alignment horizontal="justify" vertical="justify" wrapText="1"/>
    </xf>
    <xf numFmtId="166" fontId="4" fillId="2" borderId="0" xfId="2" applyNumberFormat="1" applyFont="1" applyFill="1" applyBorder="1" applyAlignment="1">
      <alignment horizontal="center" vertical="center" wrapText="1"/>
    </xf>
    <xf numFmtId="0" fontId="3" fillId="7" borderId="59" xfId="0" applyFont="1" applyFill="1" applyBorder="1" applyAlignment="1">
      <alignment horizontal="center" vertical="center" wrapText="1"/>
    </xf>
    <xf numFmtId="0" fontId="3" fillId="7" borderId="61" xfId="0" applyFont="1" applyFill="1" applyBorder="1" applyAlignment="1">
      <alignment horizontal="center" vertical="center" wrapText="1"/>
    </xf>
    <xf numFmtId="0" fontId="3" fillId="7" borderId="23" xfId="0" applyFont="1" applyFill="1" applyBorder="1" applyAlignment="1">
      <alignment horizontal="justify" vertical="justify" wrapText="1"/>
    </xf>
    <xf numFmtId="0" fontId="3" fillId="7" borderId="22" xfId="0" applyFont="1" applyFill="1" applyBorder="1" applyAlignment="1">
      <alignment horizontal="justify" vertical="justify" wrapText="1"/>
    </xf>
    <xf numFmtId="0" fontId="3" fillId="7" borderId="25" xfId="0" applyFont="1" applyFill="1" applyBorder="1" applyAlignment="1">
      <alignment horizontal="justify" vertical="justify" wrapText="1"/>
    </xf>
    <xf numFmtId="0" fontId="3" fillId="7" borderId="26" xfId="0" applyFont="1" applyFill="1" applyBorder="1" applyAlignment="1">
      <alignment horizontal="justify" vertical="justify" wrapText="1"/>
    </xf>
    <xf numFmtId="0" fontId="24" fillId="6" borderId="45" xfId="0" applyFont="1" applyFill="1" applyBorder="1" applyAlignment="1">
      <alignment horizontal="center" vertical="center" textRotation="90"/>
    </xf>
    <xf numFmtId="0" fontId="24" fillId="6" borderId="29" xfId="0" applyFont="1" applyFill="1" applyBorder="1" applyAlignment="1">
      <alignment horizontal="center" vertical="center" textRotation="90"/>
    </xf>
    <xf numFmtId="41" fontId="24" fillId="6" borderId="12" xfId="0" applyNumberFormat="1" applyFont="1" applyFill="1" applyBorder="1" applyAlignment="1">
      <alignment horizontal="center" vertical="center" wrapText="1"/>
    </xf>
    <xf numFmtId="41" fontId="24" fillId="6" borderId="70" xfId="0" applyNumberFormat="1" applyFont="1" applyFill="1" applyBorder="1" applyAlignment="1">
      <alignment horizontal="center" vertical="center" wrapText="1"/>
    </xf>
    <xf numFmtId="0" fontId="24" fillId="6" borderId="41" xfId="0" applyFont="1" applyFill="1" applyBorder="1" applyAlignment="1">
      <alignment horizontal="center" vertical="center" textRotation="90"/>
    </xf>
    <xf numFmtId="41" fontId="24" fillId="6" borderId="42" xfId="0" applyNumberFormat="1" applyFont="1" applyFill="1" applyBorder="1" applyAlignment="1">
      <alignment horizontal="center" vertical="center" wrapText="1"/>
    </xf>
    <xf numFmtId="41" fontId="24" fillId="6" borderId="43" xfId="0" applyNumberFormat="1" applyFont="1" applyFill="1" applyBorder="1" applyAlignment="1">
      <alignment horizontal="center" vertical="center" wrapText="1"/>
    </xf>
    <xf numFmtId="0" fontId="26" fillId="2" borderId="34" xfId="0" applyFont="1" applyFill="1" applyBorder="1" applyAlignment="1">
      <alignment horizontal="left" vertical="center"/>
    </xf>
    <xf numFmtId="0" fontId="26" fillId="2" borderId="38" xfId="0" applyFont="1" applyFill="1" applyBorder="1" applyAlignment="1">
      <alignment horizontal="left" vertical="center"/>
    </xf>
    <xf numFmtId="41" fontId="23" fillId="2" borderId="47" xfId="0" applyNumberFormat="1" applyFont="1" applyFill="1" applyBorder="1" applyAlignment="1">
      <alignment horizontal="left" vertical="center" wrapText="1"/>
    </xf>
    <xf numFmtId="41" fontId="23" fillId="2" borderId="35" xfId="0" applyNumberFormat="1" applyFont="1" applyFill="1" applyBorder="1" applyAlignment="1">
      <alignment horizontal="left" vertical="center" wrapText="1"/>
    </xf>
    <xf numFmtId="0" fontId="26" fillId="2" borderId="23" xfId="0" applyFont="1" applyFill="1" applyBorder="1" applyAlignment="1">
      <alignment horizontal="left" vertical="center"/>
    </xf>
    <xf numFmtId="0" fontId="26" fillId="2" borderId="3" xfId="0" applyFont="1" applyFill="1" applyBorder="1" applyAlignment="1">
      <alignment horizontal="left" vertical="center"/>
    </xf>
    <xf numFmtId="41" fontId="23" fillId="2" borderId="5" xfId="0" applyNumberFormat="1" applyFont="1" applyFill="1" applyBorder="1" applyAlignment="1">
      <alignment horizontal="left" vertical="center" wrapText="1"/>
    </xf>
    <xf numFmtId="41" fontId="23" fillId="2" borderId="22" xfId="0" applyNumberFormat="1" applyFont="1" applyFill="1" applyBorder="1" applyAlignment="1">
      <alignment horizontal="left" vertical="center" wrapText="1"/>
    </xf>
    <xf numFmtId="41" fontId="24" fillId="6" borderId="23" xfId="0" applyNumberFormat="1" applyFont="1" applyFill="1" applyBorder="1" applyAlignment="1">
      <alignment horizontal="left" vertical="center" wrapText="1"/>
    </xf>
    <xf numFmtId="41" fontId="24" fillId="6" borderId="3" xfId="0" applyNumberFormat="1" applyFont="1" applyFill="1" applyBorder="1" applyAlignment="1">
      <alignment horizontal="left" vertical="center" wrapText="1"/>
    </xf>
    <xf numFmtId="41" fontId="23" fillId="2" borderId="50" xfId="0" applyNumberFormat="1" applyFont="1" applyFill="1" applyBorder="1" applyAlignment="1">
      <alignment horizontal="left" vertical="center" wrapText="1"/>
    </xf>
    <xf numFmtId="41" fontId="23" fillId="2" borderId="26" xfId="0" applyNumberFormat="1" applyFont="1" applyFill="1" applyBorder="1" applyAlignment="1">
      <alignment horizontal="left" vertical="center" wrapText="1"/>
    </xf>
    <xf numFmtId="0" fontId="23" fillId="2" borderId="0" xfId="0" applyFont="1" applyFill="1" applyBorder="1" applyAlignment="1">
      <alignment horizontal="center" vertical="center" wrapText="1"/>
    </xf>
    <xf numFmtId="0" fontId="24" fillId="6" borderId="25" xfId="0" applyFont="1" applyFill="1" applyBorder="1" applyAlignment="1">
      <alignment horizontal="left" vertical="center" wrapText="1"/>
    </xf>
    <xf numFmtId="0" fontId="24" fillId="6" borderId="39" xfId="0" applyFont="1" applyFill="1" applyBorder="1" applyAlignment="1">
      <alignment horizontal="left" vertical="center" wrapText="1"/>
    </xf>
    <xf numFmtId="0" fontId="24" fillId="6" borderId="54" xfId="0" applyFont="1" applyFill="1" applyBorder="1" applyAlignment="1">
      <alignment horizontal="center" vertical="center" wrapText="1"/>
    </xf>
    <xf numFmtId="0" fontId="24" fillId="6" borderId="55" xfId="0" applyFont="1" applyFill="1" applyBorder="1" applyAlignment="1">
      <alignment horizontal="center" vertical="center" wrapText="1"/>
    </xf>
    <xf numFmtId="0" fontId="24" fillId="6" borderId="57" xfId="0" applyFont="1" applyFill="1" applyBorder="1" applyAlignment="1">
      <alignment horizontal="center" vertical="center" wrapText="1"/>
    </xf>
    <xf numFmtId="0" fontId="0" fillId="0" borderId="0" xfId="0"/>
    <xf numFmtId="0" fontId="0" fillId="0" borderId="65" xfId="0" applyBorder="1"/>
    <xf numFmtId="0" fontId="0" fillId="0" borderId="66" xfId="0" applyBorder="1"/>
    <xf numFmtId="4" fontId="50" fillId="12" borderId="0" xfId="0" applyNumberFormat="1" applyFont="1" applyFill="1" applyAlignment="1">
      <alignment horizontal="right" vertical="center" wrapText="1"/>
    </xf>
    <xf numFmtId="4" fontId="51" fillId="12" borderId="0" xfId="0" applyNumberFormat="1" applyFont="1" applyFill="1" applyAlignment="1">
      <alignment horizontal="right" vertical="center" wrapText="1"/>
    </xf>
    <xf numFmtId="0" fontId="3" fillId="0" borderId="1" xfId="0" applyFont="1" applyBorder="1" applyAlignment="1">
      <alignment horizontal="left" vertical="center" wrapText="1"/>
    </xf>
    <xf numFmtId="14"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0" fillId="0" borderId="62" xfId="0" applyFont="1" applyBorder="1" applyAlignment="1">
      <alignment horizontal="center"/>
    </xf>
    <xf numFmtId="0" fontId="0" fillId="0" borderId="6" xfId="0" applyFont="1" applyBorder="1" applyAlignment="1">
      <alignment horizontal="center"/>
    </xf>
    <xf numFmtId="0" fontId="1"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0" fillId="0" borderId="7" xfId="0" applyBorder="1" applyAlignment="1">
      <alignment vertical="top" wrapText="1"/>
    </xf>
    <xf numFmtId="0" fontId="0" fillId="0" borderId="14" xfId="0" applyFont="1" applyBorder="1" applyAlignment="1">
      <alignment vertical="top" wrapText="1"/>
    </xf>
    <xf numFmtId="0" fontId="0" fillId="0" borderId="8" xfId="0" applyFont="1" applyBorder="1" applyAlignment="1">
      <alignment vertical="top" wrapText="1"/>
    </xf>
    <xf numFmtId="0" fontId="0" fillId="0" borderId="10" xfId="0" applyFont="1" applyBorder="1" applyAlignment="1">
      <alignment vertical="top" wrapText="1"/>
    </xf>
    <xf numFmtId="0" fontId="0" fillId="0" borderId="0" xfId="0" applyFont="1" applyBorder="1" applyAlignment="1">
      <alignment vertical="top" wrapText="1"/>
    </xf>
    <xf numFmtId="0" fontId="0" fillId="0" borderId="11" xfId="0" applyFont="1" applyBorder="1" applyAlignment="1">
      <alignment vertical="top"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4" fillId="0" borderId="6" xfId="0" applyFont="1" applyBorder="1" applyAlignment="1">
      <alignment horizontal="left" vertical="center" wrapText="1"/>
    </xf>
    <xf numFmtId="0" fontId="4" fillId="0" borderId="9"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cellXfs>
  <cellStyles count="5">
    <cellStyle name="Moeda 2" xfId="4"/>
    <cellStyle name="Normal" xfId="0" builtinId="0"/>
    <cellStyle name="Normal 2" xfId="3"/>
    <cellStyle name="Porcentagem" xfId="1" builtinId="5"/>
    <cellStyle name="Vírgula" xfId="2" builtinId="3"/>
  </cellStyles>
  <dxfs count="0"/>
  <tableStyles count="0" defaultTableStyle="TableStyleMedium2" defaultPivotStyle="PivotStyleLight16"/>
  <colors>
    <mruColors>
      <color rgb="FF008080"/>
      <color rgb="FF009999"/>
      <color rgb="FF00C5C0"/>
      <color rgb="FF31819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50800</xdr:rowOff>
    </xdr:from>
    <xdr:to>
      <xdr:col>8</xdr:col>
      <xdr:colOff>516466</xdr:colOff>
      <xdr:row>32</xdr:row>
      <xdr:rowOff>142876</xdr:rowOff>
    </xdr:to>
    <xdr:sp macro="" textlink="">
      <xdr:nvSpPr>
        <xdr:cNvPr id="2" name="Rectangle 17"/>
        <xdr:cNvSpPr>
          <a:spLocks noChangeArrowheads="1"/>
        </xdr:cNvSpPr>
      </xdr:nvSpPr>
      <xdr:spPr bwMode="auto">
        <a:xfrm>
          <a:off x="0" y="50800"/>
          <a:ext cx="5528733" cy="605260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pt-BR" sz="2600" b="1" i="0" u="none" strike="noStrike" baseline="0">
              <a:solidFill>
                <a:srgbClr val="000000"/>
              </a:solidFill>
              <a:latin typeface="Arial"/>
              <a:cs typeface="Arial"/>
            </a:rPr>
            <a:t> </a:t>
          </a:r>
          <a:endParaRPr lang="pt-BR" sz="1200" b="0" i="0" u="none" strike="noStrike" baseline="0">
            <a:solidFill>
              <a:srgbClr val="000000"/>
            </a:solidFill>
            <a:latin typeface="Cambria"/>
            <a:cs typeface="Arial"/>
          </a:endParaRPr>
        </a:p>
        <a:p>
          <a:pPr algn="ctr" rtl="0">
            <a:defRPr sz="1000"/>
          </a:pPr>
          <a:endParaRPr lang="pt-BR" sz="1800" b="1" i="0" u="none" strike="noStrike" baseline="0">
            <a:solidFill>
              <a:srgbClr val="215868"/>
            </a:solidFill>
            <a:latin typeface="Arial"/>
            <a:cs typeface="Arial"/>
          </a:endParaRPr>
        </a:p>
        <a:p>
          <a:pPr algn="ctr" rtl="0">
            <a:defRPr sz="1000"/>
          </a:pPr>
          <a:endParaRPr lang="pt-BR" sz="1800" b="1" i="0" u="none" strike="noStrike" baseline="0">
            <a:solidFill>
              <a:srgbClr val="215868"/>
            </a:solidFill>
            <a:latin typeface="Arial"/>
            <a:cs typeface="Arial"/>
          </a:endParaRPr>
        </a:p>
        <a:p>
          <a:pPr algn="ctr" rtl="0">
            <a:defRPr sz="1000"/>
          </a:pPr>
          <a:endParaRPr lang="pt-BR" sz="1800" b="1" i="0" u="none" strike="noStrike" baseline="0">
            <a:solidFill>
              <a:srgbClr val="215868"/>
            </a:solidFill>
            <a:latin typeface="Arial"/>
            <a:cs typeface="Arial"/>
          </a:endParaRPr>
        </a:p>
        <a:p>
          <a:pPr algn="ctr" rtl="0">
            <a:defRPr sz="1000"/>
          </a:pPr>
          <a:endParaRPr lang="pt-BR" sz="1800" b="1" i="0" u="none" strike="noStrike" baseline="0">
            <a:solidFill>
              <a:srgbClr val="215868"/>
            </a:solidFill>
            <a:latin typeface="Arial"/>
            <a:cs typeface="Arial"/>
          </a:endParaRPr>
        </a:p>
        <a:p>
          <a:pPr algn="ctr" rtl="0">
            <a:defRPr sz="1000"/>
          </a:pPr>
          <a:endParaRPr lang="pt-BR" sz="1800" b="1" i="0" u="none" strike="noStrike" baseline="0">
            <a:solidFill>
              <a:srgbClr val="215868"/>
            </a:solidFill>
            <a:latin typeface="Arial"/>
            <a:cs typeface="Arial"/>
          </a:endParaRPr>
        </a:p>
        <a:p>
          <a:pPr algn="ctr" rtl="0">
            <a:defRPr sz="1000"/>
          </a:pPr>
          <a:endParaRPr lang="pt-BR" sz="1800" b="1" i="0" u="none" strike="noStrike" baseline="0">
            <a:solidFill>
              <a:srgbClr val="215868"/>
            </a:solidFill>
            <a:latin typeface="Arial"/>
            <a:cs typeface="Arial"/>
          </a:endParaRPr>
        </a:p>
        <a:p>
          <a:pPr algn="ctr" rtl="0">
            <a:defRPr sz="1000"/>
          </a:pPr>
          <a:endParaRPr lang="pt-BR" sz="1800" b="1" i="0" u="none" strike="noStrike" baseline="0">
            <a:solidFill>
              <a:srgbClr val="215868"/>
            </a:solidFill>
            <a:latin typeface="Arial"/>
            <a:cs typeface="Arial"/>
          </a:endParaRPr>
        </a:p>
        <a:p>
          <a:pPr algn="ctr" rtl="0">
            <a:defRPr sz="1000"/>
          </a:pPr>
          <a:endParaRPr lang="pt-BR" sz="1800" b="1" i="0" u="none" strike="noStrike" baseline="0">
            <a:solidFill>
              <a:srgbClr val="215868"/>
            </a:solidFill>
            <a:latin typeface="Arial"/>
            <a:cs typeface="Arial"/>
          </a:endParaRPr>
        </a:p>
        <a:p>
          <a:pPr algn="ctr" rtl="0">
            <a:defRPr sz="1000"/>
          </a:pPr>
          <a:endParaRPr lang="pt-BR" sz="1800" b="1" i="0" u="none" strike="noStrike" baseline="0">
            <a:solidFill>
              <a:srgbClr val="215868"/>
            </a:solidFill>
            <a:latin typeface="Arial"/>
            <a:cs typeface="Arial"/>
          </a:endParaRPr>
        </a:p>
        <a:p>
          <a:pPr algn="ctr" rtl="0">
            <a:defRPr sz="1000"/>
          </a:pPr>
          <a:endParaRPr lang="pt-BR" sz="1800" b="1" i="0" u="none" strike="noStrike" baseline="0">
            <a:solidFill>
              <a:srgbClr val="215868"/>
            </a:solidFill>
            <a:latin typeface="Arial"/>
            <a:cs typeface="Arial"/>
          </a:endParaRPr>
        </a:p>
        <a:p>
          <a:pPr algn="ctr" rtl="0">
            <a:defRPr sz="1000"/>
          </a:pPr>
          <a:endParaRPr lang="pt-BR" sz="1800" b="1" i="0" u="none" strike="noStrike" baseline="0">
            <a:solidFill>
              <a:srgbClr val="215868"/>
            </a:solidFill>
            <a:latin typeface="Arial"/>
            <a:cs typeface="Arial"/>
          </a:endParaRPr>
        </a:p>
        <a:p>
          <a:pPr algn="ctr" rtl="0">
            <a:defRPr sz="1000"/>
          </a:pPr>
          <a:endParaRPr lang="pt-BR" sz="1800" b="1" i="0" u="none" strike="noStrike" baseline="0">
            <a:solidFill>
              <a:srgbClr val="215868"/>
            </a:solidFill>
            <a:latin typeface="Arial"/>
            <a:cs typeface="Arial"/>
          </a:endParaRPr>
        </a:p>
        <a:p>
          <a:pPr algn="ctr" rtl="0">
            <a:defRPr sz="1000"/>
          </a:pPr>
          <a:r>
            <a:rPr lang="pt-BR" sz="1800" b="1" i="0" u="none" strike="noStrike" baseline="0">
              <a:solidFill>
                <a:srgbClr val="215868"/>
              </a:solidFill>
              <a:latin typeface="Arial"/>
              <a:cs typeface="Arial"/>
            </a:rPr>
            <a:t>RELATÓRIO DE EXECUÇÃO MENSAL </a:t>
          </a:r>
        </a:p>
        <a:p>
          <a:pPr algn="ctr" rtl="0">
            <a:defRPr sz="1000"/>
          </a:pPr>
          <a:endParaRPr lang="pt-BR" sz="1800" b="1" i="0" u="none" strike="noStrike" baseline="0">
            <a:solidFill>
              <a:srgbClr val="215868"/>
            </a:solidFill>
            <a:latin typeface="Arial"/>
            <a:cs typeface="Arial"/>
          </a:endParaRPr>
        </a:p>
        <a:p>
          <a:pPr algn="ctr" rtl="0">
            <a:defRPr sz="1000"/>
          </a:pPr>
          <a:r>
            <a:rPr lang="pt-BR" sz="1800" b="1" i="0" u="none" strike="noStrike" baseline="0">
              <a:solidFill>
                <a:srgbClr val="215868"/>
              </a:solidFill>
              <a:latin typeface="Arial"/>
              <a:cs typeface="Arial"/>
            </a:rPr>
            <a:t> </a:t>
          </a:r>
          <a:endParaRPr lang="pt-BR" sz="1800" b="0" i="0" u="none" strike="noStrike" baseline="0">
            <a:solidFill>
              <a:srgbClr val="000000"/>
            </a:solidFill>
            <a:latin typeface="Cambria"/>
            <a:cs typeface="Arial"/>
          </a:endParaRPr>
        </a:p>
        <a:p>
          <a:pPr algn="ctr" rtl="0">
            <a:defRPr sz="1000"/>
          </a:pPr>
          <a:endParaRPr lang="pt-BR" sz="1800" b="1" i="0" u="none" strike="noStrike" baseline="0">
            <a:solidFill>
              <a:srgbClr val="215868"/>
            </a:solidFill>
            <a:latin typeface="Arial"/>
            <a:cs typeface="Arial"/>
          </a:endParaRPr>
        </a:p>
      </xdr:txBody>
    </xdr:sp>
    <xdr:clientData/>
  </xdr:twoCellAnchor>
  <xdr:twoCellAnchor>
    <xdr:from>
      <xdr:col>0</xdr:col>
      <xdr:colOff>0</xdr:colOff>
      <xdr:row>24</xdr:row>
      <xdr:rowOff>110066</xdr:rowOff>
    </xdr:from>
    <xdr:to>
      <xdr:col>8</xdr:col>
      <xdr:colOff>253999</xdr:colOff>
      <xdr:row>30</xdr:row>
      <xdr:rowOff>133349</xdr:rowOff>
    </xdr:to>
    <xdr:sp macro="" textlink="">
      <xdr:nvSpPr>
        <xdr:cNvPr id="3" name="Freeform 7"/>
        <xdr:cNvSpPr>
          <a:spLocks/>
        </xdr:cNvSpPr>
      </xdr:nvSpPr>
      <xdr:spPr bwMode="auto">
        <a:xfrm flipH="1">
          <a:off x="0" y="4580466"/>
          <a:ext cx="5266266" cy="1140883"/>
        </a:xfrm>
        <a:custGeom>
          <a:avLst/>
          <a:gdLst>
            <a:gd name="T0" fmla="*/ 0 w 3466"/>
            <a:gd name="T1" fmla="*/ 2147483646 h 3550"/>
            <a:gd name="T2" fmla="*/ 0 w 3466"/>
            <a:gd name="T3" fmla="*/ 2147483646 h 3550"/>
            <a:gd name="T4" fmla="*/ 2147483646 w 3466"/>
            <a:gd name="T5" fmla="*/ 2147483646 h 3550"/>
            <a:gd name="T6" fmla="*/ 2147483646 w 3466"/>
            <a:gd name="T7" fmla="*/ 0 h 3550"/>
            <a:gd name="T8" fmla="*/ 0 w 3466"/>
            <a:gd name="T9" fmla="*/ 2147483646 h 3550"/>
            <a:gd name="T10" fmla="*/ 0 60000 65536"/>
            <a:gd name="T11" fmla="*/ 0 60000 65536"/>
            <a:gd name="T12" fmla="*/ 0 60000 65536"/>
            <a:gd name="T13" fmla="*/ 0 60000 65536"/>
            <a:gd name="T14" fmla="*/ 0 60000 65536"/>
          </a:gdLst>
          <a:ahLst/>
          <a:cxnLst>
            <a:cxn ang="T10">
              <a:pos x="T0" y="T1"/>
            </a:cxn>
            <a:cxn ang="T11">
              <a:pos x="T2" y="T3"/>
            </a:cxn>
            <a:cxn ang="T12">
              <a:pos x="T4" y="T5"/>
            </a:cxn>
            <a:cxn ang="T13">
              <a:pos x="T6" y="T7"/>
            </a:cxn>
            <a:cxn ang="T14">
              <a:pos x="T8" y="T9"/>
            </a:cxn>
          </a:cxnLst>
          <a:rect l="0" t="0" r="r" b="b"/>
          <a:pathLst>
            <a:path w="3466" h="3550">
              <a:moveTo>
                <a:pt x="0" y="569"/>
              </a:moveTo>
              <a:lnTo>
                <a:pt x="0" y="2930"/>
              </a:lnTo>
              <a:lnTo>
                <a:pt x="3466" y="3550"/>
              </a:lnTo>
              <a:lnTo>
                <a:pt x="3466" y="0"/>
              </a:lnTo>
              <a:lnTo>
                <a:pt x="0" y="569"/>
              </a:lnTo>
              <a:close/>
            </a:path>
          </a:pathLst>
        </a:custGeom>
        <a:solidFill>
          <a:srgbClr val="205867">
            <a:alpha val="50195"/>
          </a:srgbClr>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296330</xdr:colOff>
      <xdr:row>25</xdr:row>
      <xdr:rowOff>76200</xdr:rowOff>
    </xdr:from>
    <xdr:to>
      <xdr:col>8</xdr:col>
      <xdr:colOff>59265</xdr:colOff>
      <xdr:row>28</xdr:row>
      <xdr:rowOff>148166</xdr:rowOff>
    </xdr:to>
    <xdr:sp macro="" textlink="">
      <xdr:nvSpPr>
        <xdr:cNvPr id="4" name="Rectangle 16"/>
        <xdr:cNvSpPr>
          <a:spLocks noChangeArrowheads="1"/>
        </xdr:cNvSpPr>
      </xdr:nvSpPr>
      <xdr:spPr bwMode="auto">
        <a:xfrm flipH="1">
          <a:off x="1549397" y="4732867"/>
          <a:ext cx="3522135" cy="6307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noAutofit/>
        </a:bodyPr>
        <a:lstStyle/>
        <a:p>
          <a:pPr algn="l" rtl="0">
            <a:defRPr sz="1000"/>
          </a:pPr>
          <a:r>
            <a:rPr lang="pt-BR" sz="4400" b="0" i="0" u="none" strike="noStrike" baseline="0">
              <a:solidFill>
                <a:srgbClr val="215868"/>
              </a:solidFill>
              <a:latin typeface="Arial"/>
              <a:cs typeface="Arial"/>
            </a:rPr>
            <a:t>  Março 2018</a:t>
          </a:r>
        </a:p>
      </xdr:txBody>
    </xdr:sp>
    <xdr:clientData/>
  </xdr:twoCellAnchor>
  <xdr:twoCellAnchor editAs="oneCell">
    <xdr:from>
      <xdr:col>2</xdr:col>
      <xdr:colOff>70473</xdr:colOff>
      <xdr:row>1</xdr:row>
      <xdr:rowOff>45694</xdr:rowOff>
    </xdr:from>
    <xdr:to>
      <xdr:col>7</xdr:col>
      <xdr:colOff>116293</xdr:colOff>
      <xdr:row>16</xdr:row>
      <xdr:rowOff>130539</xdr:rowOff>
    </xdr:to>
    <xdr:pic>
      <xdr:nvPicPr>
        <xdr:cNvPr id="6" name="Imagem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23540" y="231961"/>
          <a:ext cx="3178486" cy="287884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184265</xdr:colOff>
      <xdr:row>0</xdr:row>
      <xdr:rowOff>266814</xdr:rowOff>
    </xdr:from>
    <xdr:to>
      <xdr:col>12</xdr:col>
      <xdr:colOff>391887</xdr:colOff>
      <xdr:row>4</xdr:row>
      <xdr:rowOff>194582</xdr:rowOff>
    </xdr:to>
    <xdr:pic>
      <xdr:nvPicPr>
        <xdr:cNvPr id="2" name="Imagem 1" descr="eIfOp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45979" y="266814"/>
          <a:ext cx="7533708" cy="1016339"/>
        </a:xfrm>
        <a:prstGeom prst="rect">
          <a:avLst/>
        </a:prstGeom>
        <a:noFill/>
      </xdr:spPr>
    </xdr:pic>
    <xdr:clientData/>
  </xdr:twoCellAnchor>
  <xdr:twoCellAnchor editAs="oneCell">
    <xdr:from>
      <xdr:col>0</xdr:col>
      <xdr:colOff>227807</xdr:colOff>
      <xdr:row>0</xdr:row>
      <xdr:rowOff>168842</xdr:rowOff>
    </xdr:from>
    <xdr:to>
      <xdr:col>5</xdr:col>
      <xdr:colOff>653144</xdr:colOff>
      <xdr:row>4</xdr:row>
      <xdr:rowOff>96610</xdr:rowOff>
    </xdr:to>
    <xdr:pic>
      <xdr:nvPicPr>
        <xdr:cNvPr id="3" name="Imagem 2" descr="eIfOp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807" y="168842"/>
          <a:ext cx="7533708" cy="1016339"/>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284956</xdr:colOff>
      <xdr:row>0</xdr:row>
      <xdr:rowOff>91282</xdr:rowOff>
    </xdr:from>
    <xdr:to>
      <xdr:col>11</xdr:col>
      <xdr:colOff>285750</xdr:colOff>
      <xdr:row>4</xdr:row>
      <xdr:rowOff>111125</xdr:rowOff>
    </xdr:to>
    <xdr:pic>
      <xdr:nvPicPr>
        <xdr:cNvPr id="3" name="Imagem 2" descr="eIfOp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956" y="91282"/>
          <a:ext cx="7255669" cy="1099343"/>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261730</xdr:colOff>
      <xdr:row>0</xdr:row>
      <xdr:rowOff>119269</xdr:rowOff>
    </xdr:from>
    <xdr:to>
      <xdr:col>5</xdr:col>
      <xdr:colOff>848139</xdr:colOff>
      <xdr:row>4</xdr:row>
      <xdr:rowOff>46383</xdr:rowOff>
    </xdr:to>
    <xdr:pic>
      <xdr:nvPicPr>
        <xdr:cNvPr id="5" name="Imagem 4" descr="eIfOp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730" y="119269"/>
          <a:ext cx="6728792" cy="987288"/>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166688</xdr:colOff>
      <xdr:row>1</xdr:row>
      <xdr:rowOff>71437</xdr:rowOff>
    </xdr:from>
    <xdr:to>
      <xdr:col>4</xdr:col>
      <xdr:colOff>2349500</xdr:colOff>
      <xdr:row>5</xdr:row>
      <xdr:rowOff>100012</xdr:rowOff>
    </xdr:to>
    <xdr:pic>
      <xdr:nvPicPr>
        <xdr:cNvPr id="3" name="Imagem 2" descr="eIfOp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6688" y="261937"/>
          <a:ext cx="6715125" cy="6953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95212</xdr:colOff>
      <xdr:row>0</xdr:row>
      <xdr:rowOff>178595</xdr:rowOff>
    </xdr:from>
    <xdr:to>
      <xdr:col>9</xdr:col>
      <xdr:colOff>619087</xdr:colOff>
      <xdr:row>4</xdr:row>
      <xdr:rowOff>111920</xdr:rowOff>
    </xdr:to>
    <xdr:pic>
      <xdr:nvPicPr>
        <xdr:cNvPr id="3" name="Imagem 2" descr="eIfOp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57400" y="178595"/>
          <a:ext cx="6715125" cy="69532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466725</xdr:colOff>
      <xdr:row>0</xdr:row>
      <xdr:rowOff>104775</xdr:rowOff>
    </xdr:from>
    <xdr:to>
      <xdr:col>6</xdr:col>
      <xdr:colOff>79198</xdr:colOff>
      <xdr:row>4</xdr:row>
      <xdr:rowOff>152400</xdr:rowOff>
    </xdr:to>
    <xdr:pic>
      <xdr:nvPicPr>
        <xdr:cNvPr id="2" name="Imagem 1" descr="eIfOp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725" y="104775"/>
          <a:ext cx="8296275" cy="111442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1600200</xdr:colOff>
      <xdr:row>0</xdr:row>
      <xdr:rowOff>161925</xdr:rowOff>
    </xdr:from>
    <xdr:to>
      <xdr:col>8</xdr:col>
      <xdr:colOff>420529</xdr:colOff>
      <xdr:row>4</xdr:row>
      <xdr:rowOff>209550</xdr:rowOff>
    </xdr:to>
    <xdr:pic>
      <xdr:nvPicPr>
        <xdr:cNvPr id="3" name="Imagem 2" descr="eIfOp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200" y="161925"/>
          <a:ext cx="9477375" cy="1114425"/>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676276</xdr:colOff>
      <xdr:row>0</xdr:row>
      <xdr:rowOff>228600</xdr:rowOff>
    </xdr:from>
    <xdr:to>
      <xdr:col>12</xdr:col>
      <xdr:colOff>603101</xdr:colOff>
      <xdr:row>4</xdr:row>
      <xdr:rowOff>104775</xdr:rowOff>
    </xdr:to>
    <xdr:pic>
      <xdr:nvPicPr>
        <xdr:cNvPr id="2" name="Imagem 1" descr="eIfOp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176" y="228600"/>
          <a:ext cx="8058150" cy="942975"/>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250032</xdr:colOff>
      <xdr:row>0</xdr:row>
      <xdr:rowOff>148433</xdr:rowOff>
    </xdr:from>
    <xdr:to>
      <xdr:col>12</xdr:col>
      <xdr:colOff>468686</xdr:colOff>
      <xdr:row>4</xdr:row>
      <xdr:rowOff>95250</xdr:rowOff>
    </xdr:to>
    <xdr:pic>
      <xdr:nvPicPr>
        <xdr:cNvPr id="2" name="Imagem 1" descr="eIfOp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2126" y="148433"/>
          <a:ext cx="7917656" cy="994567"/>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532606</xdr:colOff>
      <xdr:row>0</xdr:row>
      <xdr:rowOff>157957</xdr:rowOff>
    </xdr:from>
    <xdr:to>
      <xdr:col>7</xdr:col>
      <xdr:colOff>180975</xdr:colOff>
      <xdr:row>4</xdr:row>
      <xdr:rowOff>85725</xdr:rowOff>
    </xdr:to>
    <xdr:pic>
      <xdr:nvPicPr>
        <xdr:cNvPr id="2" name="Imagem 1" descr="eIfOpo"/>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2606" y="157957"/>
          <a:ext cx="6677819" cy="994568"/>
        </a:xfrm>
        <a:prstGeom prst="rect">
          <a:avLst/>
        </a:prstGeom>
        <a:noFill/>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BreakPreview" zoomScale="90" zoomScaleSheetLayoutView="90" workbookViewId="0">
      <selection activeCell="M27" sqref="M27"/>
    </sheetView>
  </sheetViews>
  <sheetFormatPr defaultColWidth="9.109375" defaultRowHeight="14.4" x14ac:dyDescent="0.3"/>
  <cols>
    <col min="1" max="9" width="9.109375" style="75"/>
    <col min="10" max="10" width="43.44140625" style="75" customWidth="1"/>
    <col min="11" max="16384" width="9.109375" style="75"/>
  </cols>
  <sheetData/>
  <pageMargins left="0.51181102362204722" right="0.51181102362204722" top="0.78740157480314965" bottom="0.78740157480314965"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M32"/>
  <sheetViews>
    <sheetView showGridLines="0" view="pageBreakPreview" topLeftCell="A13" zoomScale="70" zoomScaleSheetLayoutView="70" workbookViewId="0">
      <selection activeCell="I28" sqref="I28"/>
    </sheetView>
  </sheetViews>
  <sheetFormatPr defaultColWidth="9.109375" defaultRowHeight="14.4" x14ac:dyDescent="0.3"/>
  <cols>
    <col min="1" max="1" width="9.109375" style="75"/>
    <col min="2" max="2" width="35.5546875" style="75" customWidth="1"/>
    <col min="3" max="3" width="23" style="75" customWidth="1"/>
    <col min="4" max="4" width="17.6640625" style="75" customWidth="1"/>
    <col min="5" max="5" width="18.44140625" style="75" customWidth="1"/>
    <col min="6" max="6" width="15.5546875" style="75" customWidth="1"/>
    <col min="7" max="7" width="6.6640625" style="75" customWidth="1"/>
    <col min="8" max="8" width="10.6640625" style="75" customWidth="1"/>
    <col min="9" max="9" width="40.88671875" style="75" customWidth="1"/>
    <col min="10" max="10" width="34.109375" style="75" customWidth="1"/>
    <col min="11" max="11" width="16" style="75" customWidth="1"/>
    <col min="12" max="12" width="15.6640625" style="75" customWidth="1"/>
    <col min="13" max="13" width="17.44140625" style="75" customWidth="1"/>
    <col min="14" max="16384" width="9.109375" style="75"/>
  </cols>
  <sheetData>
    <row r="1" spans="1:13" s="76" customFormat="1" ht="21" x14ac:dyDescent="0.4">
      <c r="H1" s="78"/>
    </row>
    <row r="2" spans="1:13" s="76" customFormat="1" ht="21" x14ac:dyDescent="0.4">
      <c r="H2" s="78"/>
    </row>
    <row r="3" spans="1:13" s="76" customFormat="1" ht="21" x14ac:dyDescent="0.4">
      <c r="H3" s="78"/>
    </row>
    <row r="4" spans="1:13" s="76" customFormat="1" ht="21" x14ac:dyDescent="0.4">
      <c r="H4" s="78"/>
    </row>
    <row r="5" spans="1:13" s="76" customFormat="1" ht="21" x14ac:dyDescent="0.4">
      <c r="H5" s="78"/>
    </row>
    <row r="6" spans="1:13" s="79" customFormat="1" ht="21" customHeight="1" x14ac:dyDescent="0.4">
      <c r="A6" s="407" t="str">
        <f>'Dem Fontes e Usos'!A6:G6</f>
        <v>Relatório Mensal – Exercício 2018</v>
      </c>
      <c r="B6" s="385"/>
      <c r="C6" s="385"/>
      <c r="D6" s="385"/>
      <c r="E6" s="385"/>
      <c r="F6" s="385"/>
      <c r="G6" s="370"/>
      <c r="H6" s="407" t="str">
        <f>A6</f>
        <v>Relatório Mensal – Exercício 2018</v>
      </c>
      <c r="I6" s="385"/>
      <c r="J6" s="385"/>
      <c r="K6" s="385"/>
      <c r="L6" s="385"/>
      <c r="M6" s="385"/>
    </row>
    <row r="7" spans="1:13" s="79" customFormat="1" ht="21" customHeight="1" x14ac:dyDescent="0.4">
      <c r="A7" s="411" t="str">
        <f>'Dem Fontes e Usos'!A7:G7</f>
        <v>RESPONSÁVEL PELA ELABORAÇÃO:  José Rodrigo Lopes - Gerente Adm e Financeiro</v>
      </c>
      <c r="B7" s="386"/>
      <c r="C7" s="386"/>
      <c r="D7" s="386"/>
      <c r="E7" s="386"/>
      <c r="F7" s="386"/>
      <c r="G7" s="378"/>
      <c r="H7" s="411" t="str">
        <f>A7</f>
        <v>RESPONSÁVEL PELA ELABORAÇÃO:  José Rodrigo Lopes - Gerente Adm e Financeiro</v>
      </c>
      <c r="I7" s="386"/>
      <c r="J7" s="386"/>
      <c r="K7" s="386"/>
      <c r="L7" s="386"/>
      <c r="M7" s="386"/>
    </row>
    <row r="8" spans="1:13" s="79" customFormat="1" ht="21" customHeight="1" x14ac:dyDescent="0.4">
      <c r="A8" s="411" t="str">
        <f>'Dem Fontes e Usos'!A8:G8</f>
        <v>DATA DE ELABORAÇÃO:  11/04/2018</v>
      </c>
      <c r="B8" s="386"/>
      <c r="C8" s="386"/>
      <c r="D8" s="386"/>
      <c r="E8" s="386"/>
      <c r="F8" s="386"/>
      <c r="G8" s="378"/>
      <c r="H8" s="411" t="str">
        <f>A8</f>
        <v>DATA DE ELABORAÇÃO:  11/04/2018</v>
      </c>
      <c r="I8" s="386"/>
      <c r="J8" s="386"/>
      <c r="K8" s="386"/>
      <c r="L8" s="386"/>
      <c r="M8" s="386"/>
    </row>
    <row r="9" spans="1:13" s="79" customFormat="1" ht="21" customHeight="1" thickBot="1" x14ac:dyDescent="0.45">
      <c r="A9" s="411" t="str">
        <f>'Dem Fontes e Usos'!A9:G9</f>
        <v>Período: 02/01/2018 a 31/03/2018</v>
      </c>
      <c r="B9" s="386"/>
      <c r="C9" s="386"/>
      <c r="D9" s="386"/>
      <c r="E9" s="386"/>
      <c r="F9" s="386"/>
      <c r="G9" s="378"/>
      <c r="H9" s="411" t="str">
        <f>A9</f>
        <v>Período: 02/01/2018 a 31/03/2018</v>
      </c>
      <c r="I9" s="386"/>
      <c r="J9" s="386"/>
      <c r="K9" s="386"/>
      <c r="L9" s="386"/>
      <c r="M9" s="386"/>
    </row>
    <row r="10" spans="1:13" s="141" customFormat="1" ht="24" customHeight="1" thickBot="1" x14ac:dyDescent="0.5">
      <c r="A10" s="461" t="s">
        <v>164</v>
      </c>
      <c r="B10" s="462"/>
      <c r="C10" s="462"/>
      <c r="D10" s="462"/>
      <c r="E10" s="462"/>
      <c r="F10" s="463"/>
      <c r="G10" s="371"/>
      <c r="H10" s="461" t="s">
        <v>164</v>
      </c>
      <c r="I10" s="462"/>
      <c r="J10" s="462"/>
      <c r="K10" s="462"/>
      <c r="L10" s="462"/>
      <c r="M10" s="463"/>
    </row>
    <row r="11" spans="1:13" s="145" customFormat="1" ht="69" customHeight="1" thickBot="1" x14ac:dyDescent="0.35">
      <c r="A11" s="439" t="s">
        <v>133</v>
      </c>
      <c r="B11" s="441" t="s">
        <v>134</v>
      </c>
      <c r="C11" s="442"/>
      <c r="D11" s="368" t="s">
        <v>135</v>
      </c>
      <c r="E11" s="368" t="s">
        <v>136</v>
      </c>
      <c r="F11" s="369" t="s">
        <v>137</v>
      </c>
      <c r="G11" s="372"/>
      <c r="H11" s="443" t="s">
        <v>133</v>
      </c>
      <c r="I11" s="444" t="s">
        <v>138</v>
      </c>
      <c r="J11" s="445"/>
      <c r="K11" s="142" t="s">
        <v>135</v>
      </c>
      <c r="L11" s="142" t="s">
        <v>139</v>
      </c>
      <c r="M11" s="143" t="s">
        <v>137</v>
      </c>
    </row>
    <row r="12" spans="1:13" s="145" customFormat="1" ht="37.950000000000003" customHeight="1" x14ac:dyDescent="0.3">
      <c r="A12" s="439"/>
      <c r="B12" s="446" t="s">
        <v>140</v>
      </c>
      <c r="C12" s="447"/>
      <c r="D12" s="190">
        <f>'Dem Fontes e Usos'!B14</f>
        <v>1059547</v>
      </c>
      <c r="E12" s="190">
        <f>'Dem Fontes e Usos'!C14</f>
        <v>370449.85000000003</v>
      </c>
      <c r="F12" s="146">
        <f t="shared" ref="F12:F17" si="0">IFERROR(E12/D12*100,0)</f>
        <v>34.963040808949486</v>
      </c>
      <c r="G12" s="155"/>
      <c r="H12" s="439"/>
      <c r="I12" s="448" t="s">
        <v>141</v>
      </c>
      <c r="J12" s="449"/>
      <c r="K12" s="147">
        <v>582297</v>
      </c>
      <c r="L12" s="209">
        <v>121793.1</v>
      </c>
      <c r="M12" s="148">
        <f>IFERROR(L12/K12*100,0)</f>
        <v>20.915975867984894</v>
      </c>
    </row>
    <row r="13" spans="1:13" s="145" customFormat="1" ht="38.4" customHeight="1" x14ac:dyDescent="0.3">
      <c r="A13" s="439"/>
      <c r="B13" s="450" t="s">
        <v>142</v>
      </c>
      <c r="C13" s="451"/>
      <c r="D13" s="191">
        <f>'Dem Fontes e Usos'!B22</f>
        <v>120609</v>
      </c>
      <c r="E13" s="191">
        <f>'Dem Fontes e Usos'!C22</f>
        <v>20101.330000000002</v>
      </c>
      <c r="F13" s="149">
        <f t="shared" si="0"/>
        <v>16.666525715328046</v>
      </c>
      <c r="G13" s="155"/>
      <c r="H13" s="439"/>
      <c r="I13" s="452" t="s">
        <v>143</v>
      </c>
      <c r="J13" s="453"/>
      <c r="K13" s="150">
        <v>0</v>
      </c>
      <c r="L13" s="150">
        <v>0</v>
      </c>
      <c r="M13" s="151">
        <f>IFERROR(L13/K13*100,0)</f>
        <v>0</v>
      </c>
    </row>
    <row r="14" spans="1:13" s="145" customFormat="1" ht="43.5" customHeight="1" thickBot="1" x14ac:dyDescent="0.35">
      <c r="A14" s="439"/>
      <c r="B14" s="454" t="s">
        <v>144</v>
      </c>
      <c r="C14" s="455"/>
      <c r="D14" s="201">
        <f>SUM(D12:D13)</f>
        <v>1180156</v>
      </c>
      <c r="E14" s="201">
        <f>SUM(E12:E13)</f>
        <v>390551.18000000005</v>
      </c>
      <c r="F14" s="202">
        <f t="shared" si="0"/>
        <v>33.093182596199149</v>
      </c>
      <c r="G14" s="373"/>
      <c r="H14" s="440"/>
      <c r="I14" s="456" t="s">
        <v>145</v>
      </c>
      <c r="J14" s="457"/>
      <c r="K14" s="152">
        <f>'Dem Fontes e Usos'!B13</f>
        <v>1201156</v>
      </c>
      <c r="L14" s="152">
        <f>'Dem Fontes e Usos'!C13</f>
        <v>394804.16000000003</v>
      </c>
      <c r="M14" s="153">
        <f>IFERROR(L14/K14*100,0)</f>
        <v>32.868683168547633</v>
      </c>
    </row>
    <row r="15" spans="1:13" s="145" customFormat="1" ht="28.5" customHeight="1" x14ac:dyDescent="0.3">
      <c r="A15" s="439"/>
      <c r="B15" s="450" t="s">
        <v>146</v>
      </c>
      <c r="C15" s="451"/>
      <c r="D15" s="191">
        <f>'Dem Fontes e Usos'!B23</f>
        <v>21000</v>
      </c>
      <c r="E15" s="191">
        <f>'Dem Fontes e Usos'!C23</f>
        <v>4252.9799999999996</v>
      </c>
      <c r="F15" s="149">
        <f t="shared" si="0"/>
        <v>20.252285714285712</v>
      </c>
      <c r="G15" s="155"/>
      <c r="H15" s="458"/>
      <c r="I15" s="458"/>
      <c r="J15" s="144"/>
      <c r="K15" s="154"/>
      <c r="L15" s="154"/>
      <c r="M15" s="155"/>
    </row>
    <row r="16" spans="1:13" s="145" customFormat="1" ht="33.75" customHeight="1" x14ac:dyDescent="0.3">
      <c r="A16" s="439"/>
      <c r="B16" s="450" t="s">
        <v>147</v>
      </c>
      <c r="C16" s="451"/>
      <c r="D16" s="191">
        <f>'Dem Fontes e Usos'!B38</f>
        <v>82204</v>
      </c>
      <c r="E16" s="191">
        <f>'Dem Fontes e Usos'!C38</f>
        <v>19928.32</v>
      </c>
      <c r="F16" s="149">
        <f t="shared" si="0"/>
        <v>24.242518612232981</v>
      </c>
      <c r="G16" s="155"/>
      <c r="H16" s="458"/>
      <c r="I16" s="458"/>
      <c r="J16" s="144"/>
      <c r="K16" s="155"/>
      <c r="L16" s="155"/>
      <c r="M16" s="155"/>
    </row>
    <row r="17" spans="1:13" s="145" customFormat="1" ht="30.75" customHeight="1" thickBot="1" x14ac:dyDescent="0.35">
      <c r="A17" s="440"/>
      <c r="B17" s="459" t="s">
        <v>148</v>
      </c>
      <c r="C17" s="460"/>
      <c r="D17" s="203">
        <f>D14-D15-D16</f>
        <v>1076952</v>
      </c>
      <c r="E17" s="203">
        <f>E14-E15-E16</f>
        <v>366369.88000000006</v>
      </c>
      <c r="F17" s="204">
        <f t="shared" si="0"/>
        <v>34.019146628633408</v>
      </c>
      <c r="G17" s="374"/>
      <c r="H17" s="156"/>
      <c r="I17" s="156"/>
      <c r="J17" s="144"/>
      <c r="K17" s="155"/>
      <c r="L17" s="157"/>
      <c r="M17" s="155"/>
    </row>
    <row r="18" spans="1:13" s="165" customFormat="1" ht="16.2" thickBot="1" x14ac:dyDescent="0.35">
      <c r="A18" s="158"/>
      <c r="B18" s="159"/>
      <c r="C18" s="159"/>
      <c r="D18" s="160"/>
      <c r="E18" s="160"/>
      <c r="F18" s="161"/>
      <c r="G18" s="161"/>
      <c r="H18" s="162"/>
      <c r="I18" s="162"/>
      <c r="J18" s="163"/>
      <c r="K18" s="161"/>
      <c r="L18" s="164"/>
      <c r="M18" s="161"/>
    </row>
    <row r="19" spans="1:13" s="145" customFormat="1" ht="43.5" customHeight="1" thickBot="1" x14ac:dyDescent="0.35">
      <c r="A19" s="421" t="s">
        <v>149</v>
      </c>
      <c r="B19" s="423" t="s">
        <v>150</v>
      </c>
      <c r="C19" s="424"/>
      <c r="D19" s="166" t="s">
        <v>151</v>
      </c>
      <c r="E19" s="167" t="s">
        <v>152</v>
      </c>
      <c r="F19" s="367" t="s">
        <v>137</v>
      </c>
      <c r="G19" s="375"/>
      <c r="H19" s="423" t="s">
        <v>150</v>
      </c>
      <c r="I19" s="424"/>
      <c r="J19" s="425"/>
      <c r="K19" s="168" t="s">
        <v>153</v>
      </c>
      <c r="L19" s="166" t="s">
        <v>154</v>
      </c>
      <c r="M19" s="169" t="s">
        <v>137</v>
      </c>
    </row>
    <row r="20" spans="1:13" s="145" customFormat="1" ht="40.5" customHeight="1" x14ac:dyDescent="0.3">
      <c r="A20" s="421"/>
      <c r="B20" s="426" t="s">
        <v>155</v>
      </c>
      <c r="C20" s="170" t="s">
        <v>156</v>
      </c>
      <c r="D20" s="171">
        <f>'Exec Orçamentária'!D21+'Exec Orçamentária'!D19</f>
        <v>366981</v>
      </c>
      <c r="E20" s="171">
        <f>'Exec Orçamentária'!F21+'Exec Orçamentária'!F19</f>
        <v>71128.52</v>
      </c>
      <c r="F20" s="172">
        <f>IFERROR(E20/D20*100,0)</f>
        <v>19.382071551388218</v>
      </c>
      <c r="G20" s="376"/>
      <c r="H20" s="428" t="s">
        <v>167</v>
      </c>
      <c r="I20" s="429"/>
      <c r="J20" s="170" t="s">
        <v>156</v>
      </c>
      <c r="K20" s="174">
        <f>(K12-K13)</f>
        <v>582297</v>
      </c>
      <c r="L20" s="174">
        <f>(L12-L13)</f>
        <v>121793.1</v>
      </c>
      <c r="M20" s="172">
        <f>IFERROR(L20/K20*100,0)</f>
        <v>20.915975867984894</v>
      </c>
    </row>
    <row r="21" spans="1:13" s="145" customFormat="1" ht="36.6" customHeight="1" x14ac:dyDescent="0.3">
      <c r="A21" s="421"/>
      <c r="B21" s="427"/>
      <c r="C21" s="175" t="s">
        <v>157</v>
      </c>
      <c r="D21" s="176">
        <f>IFERROR(D20/D17,0)</f>
        <v>0.34075891961758742</v>
      </c>
      <c r="E21" s="176">
        <f>IFERROR(E20/E17,0)</f>
        <v>0.19414401642405754</v>
      </c>
      <c r="F21" s="177">
        <f>E21-D21</f>
        <v>-0.14661490319352988</v>
      </c>
      <c r="G21" s="377"/>
      <c r="H21" s="430"/>
      <c r="I21" s="431"/>
      <c r="J21" s="178" t="s">
        <v>157</v>
      </c>
      <c r="K21" s="179">
        <f>IFERROR(K20/K14,)</f>
        <v>0.48478049479001895</v>
      </c>
      <c r="L21" s="179">
        <f>IFERROR(L20/L14,)</f>
        <v>0.30848991054197605</v>
      </c>
      <c r="M21" s="177">
        <f>L21-K21</f>
        <v>-0.17629058424804289</v>
      </c>
    </row>
    <row r="22" spans="1:13" s="145" customFormat="1" ht="28.5" customHeight="1" x14ac:dyDescent="0.3">
      <c r="A22" s="421"/>
      <c r="B22" s="427" t="s">
        <v>158</v>
      </c>
      <c r="C22" s="173" t="s">
        <v>156</v>
      </c>
      <c r="D22" s="180">
        <f>'Exec Orçamentária'!D17+'Exec Orçamentária'!D22</f>
        <v>164400</v>
      </c>
      <c r="E22" s="180">
        <f>'Exec Orçamentária'!F17+'Exec Orçamentária'!F22</f>
        <v>35718.82</v>
      </c>
      <c r="F22" s="172">
        <f>IFERROR(E22/D22*100,0)</f>
        <v>21.726776155717761</v>
      </c>
      <c r="G22" s="376"/>
      <c r="H22" s="435" t="s">
        <v>168</v>
      </c>
      <c r="I22" s="436"/>
      <c r="J22" s="173" t="s">
        <v>156</v>
      </c>
      <c r="K22" s="181">
        <f>'Exec Orçamentária'!D15</f>
        <v>12000</v>
      </c>
      <c r="L22" s="181">
        <f>'Exec Orçamentária'!F15</f>
        <v>0</v>
      </c>
      <c r="M22" s="182">
        <f>IFERROR(L22/K22*100,0)</f>
        <v>0</v>
      </c>
    </row>
    <row r="23" spans="1:13" s="145" customFormat="1" ht="32.4" customHeight="1" thickBot="1" x14ac:dyDescent="0.35">
      <c r="A23" s="421"/>
      <c r="B23" s="427"/>
      <c r="C23" s="178" t="s">
        <v>157</v>
      </c>
      <c r="D23" s="176">
        <f>IFERROR(D22/D17,0)</f>
        <v>0.15265304303255856</v>
      </c>
      <c r="E23" s="176">
        <f>IFERROR(E22/E17,0)</f>
        <v>9.7493876952985309E-2</v>
      </c>
      <c r="F23" s="177">
        <f>E23-D23</f>
        <v>-5.5159166079573246E-2</v>
      </c>
      <c r="G23" s="377"/>
      <c r="H23" s="437"/>
      <c r="I23" s="438"/>
      <c r="J23" s="183" t="s">
        <v>157</v>
      </c>
      <c r="K23" s="184">
        <f>IFERROR(K22/K12,)</f>
        <v>2.0608040226894522E-2</v>
      </c>
      <c r="L23" s="184">
        <f>IFERROR(L22/L12,)</f>
        <v>0</v>
      </c>
      <c r="M23" s="185">
        <f>L23-K23</f>
        <v>-2.0608040226894522E-2</v>
      </c>
    </row>
    <row r="24" spans="1:13" s="145" customFormat="1" ht="28.5" customHeight="1" x14ac:dyDescent="0.3">
      <c r="A24" s="421"/>
      <c r="B24" s="427" t="s">
        <v>159</v>
      </c>
      <c r="C24" s="173" t="s">
        <v>156</v>
      </c>
      <c r="D24" s="237">
        <f>'Exec Orçamentária'!D16</f>
        <v>36000</v>
      </c>
      <c r="E24" s="237">
        <f>'Exec Orçamentária'!F16</f>
        <v>7500</v>
      </c>
      <c r="F24" s="172">
        <f>IFERROR(E24/D24*100,0)</f>
        <v>20.833333333333336</v>
      </c>
      <c r="G24" s="376"/>
    </row>
    <row r="25" spans="1:13" s="145" customFormat="1" ht="27.75" customHeight="1" x14ac:dyDescent="0.3">
      <c r="A25" s="421"/>
      <c r="B25" s="427"/>
      <c r="C25" s="178" t="s">
        <v>157</v>
      </c>
      <c r="D25" s="176">
        <f>IFERROR(D24/D17,0)</f>
        <v>3.3427673656764648E-2</v>
      </c>
      <c r="E25" s="176">
        <f>IFERROR(E24/E17,0)</f>
        <v>2.0471115147347809E-2</v>
      </c>
      <c r="F25" s="177">
        <f>E25-D25</f>
        <v>-1.2956558509416839E-2</v>
      </c>
      <c r="G25" s="377"/>
    </row>
    <row r="26" spans="1:13" s="145" customFormat="1" ht="27" customHeight="1" x14ac:dyDescent="0.3">
      <c r="A26" s="421"/>
      <c r="B26" s="427" t="s">
        <v>160</v>
      </c>
      <c r="C26" s="173" t="s">
        <v>156</v>
      </c>
      <c r="D26" s="186">
        <v>0</v>
      </c>
      <c r="E26" s="180">
        <v>0</v>
      </c>
      <c r="F26" s="172">
        <f>IFERROR(E26/D26*100,0)</f>
        <v>0</v>
      </c>
      <c r="G26" s="376"/>
      <c r="H26" s="432"/>
      <c r="I26" s="432"/>
    </row>
    <row r="27" spans="1:13" s="145" customFormat="1" ht="31.5" customHeight="1" x14ac:dyDescent="0.3">
      <c r="A27" s="421"/>
      <c r="B27" s="427"/>
      <c r="C27" s="178" t="s">
        <v>157</v>
      </c>
      <c r="D27" s="176">
        <f>IFERROR(D26/D17,0)</f>
        <v>0</v>
      </c>
      <c r="E27" s="176">
        <f>IFERROR(E26/E17,0)</f>
        <v>0</v>
      </c>
      <c r="F27" s="177">
        <f>E27-D27</f>
        <v>0</v>
      </c>
      <c r="G27" s="377"/>
    </row>
    <row r="28" spans="1:13" s="145" customFormat="1" ht="23.25" customHeight="1" x14ac:dyDescent="0.3">
      <c r="A28" s="421"/>
      <c r="B28" s="427" t="s">
        <v>161</v>
      </c>
      <c r="C28" s="173" t="s">
        <v>156</v>
      </c>
      <c r="D28" s="180">
        <f>'Exec Orçamentária'!D12+'Exec Orçamentária'!D13+'Exec Orçamentária'!D14+'Exec Orçamentária'!D16</f>
        <v>69000</v>
      </c>
      <c r="E28" s="180">
        <f>'Exec Orçamentária'!F12+'Exec Orçamentária'!F13+'Exec Orçamentária'!F14+'Exec Orçamentária'!F16</f>
        <v>7500</v>
      </c>
      <c r="F28" s="172">
        <f>IFERROR(E28/D28*100,0)</f>
        <v>10.869565217391305</v>
      </c>
      <c r="G28" s="376"/>
    </row>
    <row r="29" spans="1:13" s="145" customFormat="1" ht="28.5" customHeight="1" x14ac:dyDescent="0.3">
      <c r="A29" s="421"/>
      <c r="B29" s="427"/>
      <c r="C29" s="178" t="s">
        <v>157</v>
      </c>
      <c r="D29" s="176">
        <f>IFERROR(D28/D17,0)</f>
        <v>6.4069707842132242E-2</v>
      </c>
      <c r="E29" s="176">
        <f>IFERROR(E28/E17,0)</f>
        <v>2.0471115147347809E-2</v>
      </c>
      <c r="F29" s="177">
        <f>E29-D29</f>
        <v>-4.359859269478443E-2</v>
      </c>
      <c r="G29" s="377"/>
    </row>
    <row r="30" spans="1:13" s="145" customFormat="1" ht="24.75" customHeight="1" x14ac:dyDescent="0.3">
      <c r="A30" s="421"/>
      <c r="B30" s="433" t="s">
        <v>162</v>
      </c>
      <c r="C30" s="173" t="s">
        <v>156</v>
      </c>
      <c r="D30" s="180">
        <f>'Exec Orçamentária'!D24</f>
        <v>11000</v>
      </c>
      <c r="E30" s="180">
        <f>'Exec Orçamentária'!F24</f>
        <v>0</v>
      </c>
      <c r="F30" s="172">
        <f>IFERROR(E30/D30*100,0)</f>
        <v>0</v>
      </c>
      <c r="G30" s="376"/>
    </row>
    <row r="31" spans="1:13" s="145" customFormat="1" ht="31.5" customHeight="1" thickBot="1" x14ac:dyDescent="0.35">
      <c r="A31" s="422"/>
      <c r="B31" s="434"/>
      <c r="C31" s="183" t="s">
        <v>157</v>
      </c>
      <c r="D31" s="187">
        <f>IFERROR(D30/D17,0)</f>
        <v>1.021401139512253E-2</v>
      </c>
      <c r="E31" s="187">
        <f>IFERROR(E30/E17,0)</f>
        <v>0</v>
      </c>
      <c r="F31" s="185">
        <f>E31-D31</f>
        <v>-1.021401139512253E-2</v>
      </c>
      <c r="G31" s="377"/>
    </row>
    <row r="32" spans="1:13" x14ac:dyDescent="0.3">
      <c r="B32" s="188"/>
    </row>
  </sheetData>
  <mergeCells count="36">
    <mergeCell ref="H7:M7"/>
    <mergeCell ref="H8:M8"/>
    <mergeCell ref="H9:M9"/>
    <mergeCell ref="H10:M10"/>
    <mergeCell ref="A6:F6"/>
    <mergeCell ref="A10:F10"/>
    <mergeCell ref="A7:F7"/>
    <mergeCell ref="A8:F8"/>
    <mergeCell ref="A9:F9"/>
    <mergeCell ref="H6:M6"/>
    <mergeCell ref="A11:A17"/>
    <mergeCell ref="B11:C11"/>
    <mergeCell ref="H11:H14"/>
    <mergeCell ref="I11:J11"/>
    <mergeCell ref="B12:C12"/>
    <mergeCell ref="I12:J12"/>
    <mergeCell ref="B13:C13"/>
    <mergeCell ref="I13:J13"/>
    <mergeCell ref="B14:C14"/>
    <mergeCell ref="I14:J14"/>
    <mergeCell ref="B15:C15"/>
    <mergeCell ref="H15:I16"/>
    <mergeCell ref="B16:C16"/>
    <mergeCell ref="B17:C17"/>
    <mergeCell ref="A19:A31"/>
    <mergeCell ref="B19:C19"/>
    <mergeCell ref="H19:J19"/>
    <mergeCell ref="B20:B21"/>
    <mergeCell ref="H20:I21"/>
    <mergeCell ref="B26:B27"/>
    <mergeCell ref="H26:I26"/>
    <mergeCell ref="B28:B29"/>
    <mergeCell ref="B30:B31"/>
    <mergeCell ref="B22:B23"/>
    <mergeCell ref="H22:I23"/>
    <mergeCell ref="B24:B25"/>
  </mergeCells>
  <pageMargins left="0.51181102362204722" right="0.51181102362204722" top="0.78740157480314965" bottom="0.78740157480314965" header="0.31496062992125984" footer="0.31496062992125984"/>
  <pageSetup paperSize="9" scale="60" orientation="portrait" r:id="rId1"/>
  <colBreaks count="1" manualBreakCount="1">
    <brk id="7" max="32"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5"/>
  <sheetViews>
    <sheetView showGridLines="0" tabSelected="1" view="pageBreakPreview" zoomScaleSheetLayoutView="100" workbookViewId="0">
      <selection activeCell="Q80" sqref="Q80"/>
    </sheetView>
  </sheetViews>
  <sheetFormatPr defaultColWidth="9.109375" defaultRowHeight="14.4" x14ac:dyDescent="0.3"/>
  <cols>
    <col min="1" max="1" width="42.5546875" style="249" bestFit="1" customWidth="1"/>
    <col min="2" max="4" width="11.44140625" style="249" customWidth="1"/>
    <col min="5" max="13" width="11.44140625" style="249" hidden="1" customWidth="1"/>
    <col min="14" max="14" width="14" style="249" bestFit="1" customWidth="1"/>
    <col min="15" max="15" width="9.109375" style="249"/>
    <col min="16" max="16" width="10.109375" style="249" bestFit="1" customWidth="1"/>
    <col min="17" max="16384" width="9.109375" style="249"/>
  </cols>
  <sheetData>
    <row r="1" spans="1:14" x14ac:dyDescent="0.3">
      <c r="A1" s="407" t="s">
        <v>256</v>
      </c>
      <c r="B1" s="464"/>
      <c r="C1" s="464"/>
      <c r="D1" s="464"/>
      <c r="E1" s="464"/>
      <c r="F1" s="464"/>
      <c r="G1" s="464"/>
      <c r="H1" s="464"/>
      <c r="I1" s="464"/>
      <c r="J1" s="464"/>
      <c r="K1" s="464"/>
      <c r="L1" s="464"/>
      <c r="M1" s="464"/>
      <c r="N1" s="464"/>
    </row>
    <row r="2" spans="1:14" ht="15" thickBot="1" x14ac:dyDescent="0.35">
      <c r="A2" s="465"/>
      <c r="B2" s="466"/>
      <c r="C2" s="466"/>
      <c r="D2" s="466"/>
      <c r="E2" s="466"/>
      <c r="F2" s="466"/>
      <c r="G2" s="466"/>
      <c r="H2" s="466"/>
      <c r="I2" s="466"/>
      <c r="J2" s="466"/>
      <c r="K2" s="466"/>
      <c r="L2" s="466"/>
      <c r="M2" s="466"/>
      <c r="N2" s="466"/>
    </row>
    <row r="3" spans="1:14" ht="24" thickBot="1" x14ac:dyDescent="0.35">
      <c r="A3" s="250" t="s">
        <v>170</v>
      </c>
      <c r="B3" s="252" t="s">
        <v>107</v>
      </c>
      <c r="C3" s="252" t="s">
        <v>108</v>
      </c>
      <c r="D3" s="252" t="s">
        <v>109</v>
      </c>
      <c r="E3" s="252" t="s">
        <v>110</v>
      </c>
      <c r="F3" s="252" t="s">
        <v>111</v>
      </c>
      <c r="G3" s="252" t="s">
        <v>112</v>
      </c>
      <c r="H3" s="252" t="s">
        <v>113</v>
      </c>
      <c r="I3" s="252" t="s">
        <v>115</v>
      </c>
      <c r="J3" s="252" t="s">
        <v>116</v>
      </c>
      <c r="K3" s="252" t="s">
        <v>117</v>
      </c>
      <c r="L3" s="252" t="s">
        <v>118</v>
      </c>
      <c r="M3" s="252" t="s">
        <v>119</v>
      </c>
      <c r="N3" s="252" t="s">
        <v>11</v>
      </c>
    </row>
    <row r="4" spans="1:14" x14ac:dyDescent="0.3">
      <c r="A4" s="264" t="s">
        <v>177</v>
      </c>
      <c r="B4" s="359">
        <v>6227.6</v>
      </c>
      <c r="C4" s="359">
        <v>6227.6</v>
      </c>
      <c r="D4" s="359">
        <v>6227.6</v>
      </c>
      <c r="E4" s="291"/>
      <c r="F4" s="291"/>
      <c r="G4" s="291"/>
      <c r="H4" s="305"/>
      <c r="I4" s="305"/>
      <c r="J4" s="291"/>
      <c r="K4" s="291"/>
      <c r="L4" s="331"/>
      <c r="M4" s="291"/>
      <c r="N4" s="291">
        <f>SUM(B4:M4)</f>
        <v>18682.800000000003</v>
      </c>
    </row>
    <row r="5" spans="1:14" x14ac:dyDescent="0.3">
      <c r="A5" s="238" t="s">
        <v>211</v>
      </c>
      <c r="B5" s="359">
        <v>622.76</v>
      </c>
      <c r="C5" s="294">
        <v>622.76</v>
      </c>
      <c r="D5" s="381"/>
      <c r="E5" s="292"/>
      <c r="F5" s="292"/>
      <c r="G5" s="292"/>
      <c r="H5" s="306"/>
      <c r="I5" s="306"/>
      <c r="J5" s="292"/>
      <c r="K5" s="292"/>
      <c r="L5" s="296"/>
      <c r="M5" s="292"/>
      <c r="N5" s="291">
        <f t="shared" ref="N5:N32" si="0">SUM(B5:M5)</f>
        <v>1245.52</v>
      </c>
    </row>
    <row r="6" spans="1:14" x14ac:dyDescent="0.3">
      <c r="A6" s="238" t="s">
        <v>178</v>
      </c>
      <c r="B6" s="294">
        <v>2872</v>
      </c>
      <c r="C6" s="294">
        <v>2872</v>
      </c>
      <c r="D6" s="294">
        <v>2872</v>
      </c>
      <c r="E6" s="292"/>
      <c r="F6" s="292"/>
      <c r="G6" s="294"/>
      <c r="H6" s="306"/>
      <c r="I6" s="294"/>
      <c r="J6" s="292"/>
      <c r="K6" s="292"/>
      <c r="L6" s="296"/>
      <c r="M6" s="292"/>
      <c r="N6" s="291">
        <f t="shared" si="0"/>
        <v>8616</v>
      </c>
    </row>
    <row r="7" spans="1:14" x14ac:dyDescent="0.3">
      <c r="A7" s="238" t="s">
        <v>206</v>
      </c>
      <c r="B7" s="294">
        <v>953.1</v>
      </c>
      <c r="C7" s="295">
        <v>953.1</v>
      </c>
      <c r="D7" s="294">
        <v>953.1</v>
      </c>
      <c r="E7" s="292"/>
      <c r="F7" s="292"/>
      <c r="G7" s="294"/>
      <c r="H7" s="306"/>
      <c r="I7" s="306"/>
      <c r="J7" s="292"/>
      <c r="K7" s="294"/>
      <c r="L7" s="295"/>
      <c r="M7" s="292"/>
      <c r="N7" s="291">
        <f t="shared" si="0"/>
        <v>2859.3</v>
      </c>
    </row>
    <row r="8" spans="1:14" x14ac:dyDescent="0.3">
      <c r="A8" s="238" t="s">
        <v>176</v>
      </c>
      <c r="B8" s="294">
        <v>1088.1500000000001</v>
      </c>
      <c r="C8" s="294">
        <v>1262.3499999999999</v>
      </c>
      <c r="D8" s="294">
        <v>978.05</v>
      </c>
      <c r="E8" s="292"/>
      <c r="F8" s="292"/>
      <c r="G8" s="294"/>
      <c r="H8" s="306"/>
      <c r="I8" s="294"/>
      <c r="J8" s="292"/>
      <c r="K8" s="294"/>
      <c r="L8" s="295"/>
      <c r="M8" s="292"/>
      <c r="N8" s="291">
        <f t="shared" si="0"/>
        <v>3328.55</v>
      </c>
    </row>
    <row r="9" spans="1:14" s="317" customFormat="1" x14ac:dyDescent="0.3">
      <c r="A9" s="238" t="s">
        <v>221</v>
      </c>
      <c r="B9" s="294"/>
      <c r="C9" s="294">
        <v>99.99</v>
      </c>
      <c r="D9" s="294">
        <v>99.99</v>
      </c>
      <c r="E9" s="292"/>
      <c r="F9" s="292"/>
      <c r="G9" s="294"/>
      <c r="H9" s="306"/>
      <c r="I9" s="306"/>
      <c r="J9" s="292"/>
      <c r="K9" s="294"/>
      <c r="L9" s="295"/>
      <c r="M9" s="294"/>
      <c r="N9" s="291">
        <f t="shared" si="0"/>
        <v>199.98</v>
      </c>
    </row>
    <row r="10" spans="1:14" x14ac:dyDescent="0.3">
      <c r="A10" s="238" t="s">
        <v>234</v>
      </c>
      <c r="B10" s="294">
        <f>147.1+136.04</f>
        <v>283.14</v>
      </c>
      <c r="C10" s="294">
        <v>137.61000000000001</v>
      </c>
      <c r="D10" s="294">
        <v>134.47999999999999</v>
      </c>
      <c r="E10" s="292"/>
      <c r="F10" s="292"/>
      <c r="G10" s="294"/>
      <c r="H10" s="306"/>
      <c r="I10" s="294"/>
      <c r="J10" s="292"/>
      <c r="K10" s="294"/>
      <c r="L10" s="295"/>
      <c r="M10" s="294"/>
      <c r="N10" s="291">
        <f t="shared" si="0"/>
        <v>555.23</v>
      </c>
    </row>
    <row r="11" spans="1:14" x14ac:dyDescent="0.3">
      <c r="A11" s="238" t="s">
        <v>192</v>
      </c>
      <c r="B11" s="294">
        <v>2500</v>
      </c>
      <c r="C11" s="294">
        <v>2500</v>
      </c>
      <c r="D11" s="294">
        <v>2500</v>
      </c>
      <c r="E11" s="292"/>
      <c r="F11" s="292"/>
      <c r="G11" s="294"/>
      <c r="H11" s="294"/>
      <c r="I11" s="306"/>
      <c r="J11" s="292"/>
      <c r="K11" s="294"/>
      <c r="L11" s="295"/>
      <c r="M11" s="294"/>
      <c r="N11" s="291">
        <f t="shared" si="0"/>
        <v>7500</v>
      </c>
    </row>
    <row r="12" spans="1:14" x14ac:dyDescent="0.3">
      <c r="A12" s="238" t="s">
        <v>171</v>
      </c>
      <c r="B12" s="294"/>
      <c r="C12" s="294">
        <v>1960</v>
      </c>
      <c r="D12" s="294">
        <v>980</v>
      </c>
      <c r="E12" s="292"/>
      <c r="F12" s="292"/>
      <c r="G12" s="294"/>
      <c r="H12" s="294"/>
      <c r="I12" s="306"/>
      <c r="J12" s="292"/>
      <c r="K12" s="293"/>
      <c r="L12" s="332"/>
      <c r="M12" s="294"/>
      <c r="N12" s="291">
        <f t="shared" si="0"/>
        <v>2940</v>
      </c>
    </row>
    <row r="13" spans="1:14" x14ac:dyDescent="0.3">
      <c r="A13" s="238" t="s">
        <v>205</v>
      </c>
      <c r="B13" s="294">
        <v>3955</v>
      </c>
      <c r="C13" s="294">
        <v>3955</v>
      </c>
      <c r="D13" s="294">
        <v>3955</v>
      </c>
      <c r="E13" s="292"/>
      <c r="F13" s="292"/>
      <c r="G13" s="294"/>
      <c r="H13" s="294"/>
      <c r="I13" s="294"/>
      <c r="J13" s="292"/>
      <c r="K13" s="293"/>
      <c r="L13" s="332"/>
      <c r="M13" s="294"/>
      <c r="N13" s="291">
        <f t="shared" si="0"/>
        <v>11865</v>
      </c>
    </row>
    <row r="14" spans="1:14" x14ac:dyDescent="0.3">
      <c r="A14" s="238" t="s">
        <v>172</v>
      </c>
      <c r="B14" s="294">
        <v>3504.6</v>
      </c>
      <c r="C14" s="294"/>
      <c r="D14" s="294">
        <f>3504.6+3504.6</f>
        <v>7009.2</v>
      </c>
      <c r="E14" s="292"/>
      <c r="F14" s="292"/>
      <c r="G14" s="294"/>
      <c r="H14" s="306"/>
      <c r="I14" s="294"/>
      <c r="J14" s="292"/>
      <c r="K14" s="294"/>
      <c r="L14" s="295"/>
      <c r="M14" s="294"/>
      <c r="N14" s="291">
        <f t="shared" si="0"/>
        <v>10513.8</v>
      </c>
    </row>
    <row r="15" spans="1:14" x14ac:dyDescent="0.3">
      <c r="A15" s="238" t="s">
        <v>173</v>
      </c>
      <c r="B15" s="294">
        <v>1328.88</v>
      </c>
      <c r="C15" s="294">
        <v>1328.88</v>
      </c>
      <c r="D15" s="294">
        <v>1328.88</v>
      </c>
      <c r="E15" s="292"/>
      <c r="F15" s="292"/>
      <c r="G15" s="294"/>
      <c r="H15" s="294"/>
      <c r="I15" s="294"/>
      <c r="J15" s="294"/>
      <c r="K15" s="294"/>
      <c r="L15" s="295"/>
      <c r="M15" s="294"/>
      <c r="N15" s="291">
        <f t="shared" si="0"/>
        <v>3986.6400000000003</v>
      </c>
    </row>
    <row r="16" spans="1:14" x14ac:dyDescent="0.3">
      <c r="A16" s="238" t="s">
        <v>174</v>
      </c>
      <c r="B16" s="294">
        <f>65+65</f>
        <v>130</v>
      </c>
      <c r="C16" s="294">
        <v>130</v>
      </c>
      <c r="D16" s="294">
        <v>130</v>
      </c>
      <c r="E16" s="292"/>
      <c r="F16" s="292"/>
      <c r="G16" s="294"/>
      <c r="H16" s="306"/>
      <c r="I16" s="294"/>
      <c r="J16" s="292"/>
      <c r="K16" s="294"/>
      <c r="L16" s="295"/>
      <c r="M16" s="294"/>
      <c r="N16" s="291">
        <f t="shared" si="0"/>
        <v>390</v>
      </c>
    </row>
    <row r="17" spans="1:14" x14ac:dyDescent="0.3">
      <c r="A17" s="238" t="s">
        <v>175</v>
      </c>
      <c r="B17" s="294">
        <f>740.23+854.53</f>
        <v>1594.76</v>
      </c>
      <c r="C17" s="295">
        <v>745.73</v>
      </c>
      <c r="D17" s="294">
        <v>768.23</v>
      </c>
      <c r="E17" s="292"/>
      <c r="F17" s="292"/>
      <c r="G17" s="294"/>
      <c r="H17" s="294"/>
      <c r="I17" s="294"/>
      <c r="J17" s="292"/>
      <c r="K17" s="294"/>
      <c r="L17" s="295"/>
      <c r="M17" s="294"/>
      <c r="N17" s="291">
        <f t="shared" si="0"/>
        <v>3108.72</v>
      </c>
    </row>
    <row r="18" spans="1:14" x14ac:dyDescent="0.3">
      <c r="A18" s="238" t="s">
        <v>179</v>
      </c>
      <c r="B18" s="294">
        <v>335.38</v>
      </c>
      <c r="C18" s="295"/>
      <c r="D18" s="294">
        <v>225.33</v>
      </c>
      <c r="E18" s="292"/>
      <c r="F18" s="292"/>
      <c r="G18" s="294"/>
      <c r="H18" s="294"/>
      <c r="I18" s="294"/>
      <c r="J18" s="292"/>
      <c r="K18" s="294"/>
      <c r="L18" s="295"/>
      <c r="M18" s="294"/>
      <c r="N18" s="291">
        <f t="shared" si="0"/>
        <v>560.71</v>
      </c>
    </row>
    <row r="19" spans="1:14" x14ac:dyDescent="0.3">
      <c r="A19" s="238" t="s">
        <v>180</v>
      </c>
      <c r="B19" s="294">
        <v>35</v>
      </c>
      <c r="C19" s="294"/>
      <c r="D19" s="294">
        <v>23.52</v>
      </c>
      <c r="E19" s="292"/>
      <c r="F19" s="292"/>
      <c r="G19" s="294"/>
      <c r="H19" s="306"/>
      <c r="I19" s="294"/>
      <c r="J19" s="292"/>
      <c r="K19" s="294"/>
      <c r="L19" s="295"/>
      <c r="M19" s="294"/>
      <c r="N19" s="291">
        <f t="shared" si="0"/>
        <v>58.519999999999996</v>
      </c>
    </row>
    <row r="20" spans="1:14" x14ac:dyDescent="0.3">
      <c r="A20" s="238" t="s">
        <v>188</v>
      </c>
      <c r="B20" s="294"/>
      <c r="C20" s="294">
        <v>400</v>
      </c>
      <c r="D20" s="294">
        <f>400+400</f>
        <v>800</v>
      </c>
      <c r="E20" s="292"/>
      <c r="F20" s="292"/>
      <c r="G20" s="294"/>
      <c r="H20" s="306"/>
      <c r="I20" s="294"/>
      <c r="J20" s="292"/>
      <c r="K20" s="294"/>
      <c r="L20" s="295"/>
      <c r="M20" s="294"/>
      <c r="N20" s="291">
        <f t="shared" si="0"/>
        <v>1200</v>
      </c>
    </row>
    <row r="21" spans="1:14" x14ac:dyDescent="0.3">
      <c r="A21" s="238" t="s">
        <v>191</v>
      </c>
      <c r="B21" s="294"/>
      <c r="C21" s="294">
        <v>500</v>
      </c>
      <c r="D21" s="294">
        <f>500+500</f>
        <v>1000</v>
      </c>
      <c r="E21" s="292"/>
      <c r="F21" s="292"/>
      <c r="G21" s="292"/>
      <c r="H21" s="294"/>
      <c r="I21" s="306"/>
      <c r="J21" s="292"/>
      <c r="K21" s="292"/>
      <c r="L21" s="296"/>
      <c r="M21" s="295"/>
      <c r="N21" s="291">
        <f t="shared" si="0"/>
        <v>1500</v>
      </c>
    </row>
    <row r="22" spans="1:14" x14ac:dyDescent="0.3">
      <c r="A22" s="238" t="s">
        <v>181</v>
      </c>
      <c r="B22" s="294">
        <v>24594.94</v>
      </c>
      <c r="C22" s="294">
        <v>25153.94</v>
      </c>
      <c r="D22" s="294">
        <v>25153.94</v>
      </c>
      <c r="E22" s="292"/>
      <c r="F22" s="292"/>
      <c r="G22" s="292"/>
      <c r="H22" s="294"/>
      <c r="I22" s="294"/>
      <c r="J22" s="292"/>
      <c r="K22" s="292"/>
      <c r="L22" s="296"/>
      <c r="M22" s="294"/>
      <c r="N22" s="291">
        <f t="shared" si="0"/>
        <v>74902.819999999992</v>
      </c>
    </row>
    <row r="23" spans="1:14" s="290" customFormat="1" x14ac:dyDescent="0.3">
      <c r="A23" s="238" t="s">
        <v>214</v>
      </c>
      <c r="B23" s="294"/>
      <c r="C23" s="294"/>
      <c r="D23" s="294"/>
      <c r="E23" s="292"/>
      <c r="F23" s="292"/>
      <c r="G23" s="292"/>
      <c r="H23" s="294"/>
      <c r="I23" s="294"/>
      <c r="J23" s="292"/>
      <c r="K23" s="292"/>
      <c r="L23" s="296"/>
      <c r="M23" s="294"/>
      <c r="N23" s="291">
        <f t="shared" si="0"/>
        <v>0</v>
      </c>
    </row>
    <row r="24" spans="1:14" x14ac:dyDescent="0.3">
      <c r="A24" s="238" t="s">
        <v>182</v>
      </c>
      <c r="B24" s="294"/>
      <c r="C24" s="294"/>
      <c r="D24" s="294"/>
      <c r="E24" s="292"/>
      <c r="F24" s="292"/>
      <c r="G24" s="292"/>
      <c r="H24" s="294"/>
      <c r="I24" s="294"/>
      <c r="J24" s="292"/>
      <c r="K24" s="294"/>
      <c r="L24" s="295"/>
      <c r="M24" s="294"/>
      <c r="N24" s="291">
        <f t="shared" si="0"/>
        <v>0</v>
      </c>
    </row>
    <row r="25" spans="1:14" x14ac:dyDescent="0.3">
      <c r="A25" s="238" t="s">
        <v>183</v>
      </c>
      <c r="B25" s="294">
        <f>800+350.81+388.97</f>
        <v>1539.78</v>
      </c>
      <c r="C25" s="294">
        <f>554.46+800</f>
        <v>1354.46</v>
      </c>
      <c r="D25" s="294">
        <f>345.48+535.91</f>
        <v>881.39</v>
      </c>
      <c r="E25" s="292"/>
      <c r="F25" s="292"/>
      <c r="G25" s="292"/>
      <c r="H25" s="294"/>
      <c r="I25" s="294"/>
      <c r="J25" s="292"/>
      <c r="K25" s="294"/>
      <c r="L25" s="295"/>
      <c r="M25" s="294"/>
      <c r="N25" s="291">
        <f t="shared" si="0"/>
        <v>3775.6299999999997</v>
      </c>
    </row>
    <row r="26" spans="1:14" x14ac:dyDescent="0.3">
      <c r="A26" s="238" t="s">
        <v>184</v>
      </c>
      <c r="B26" s="294">
        <v>9673.16</v>
      </c>
      <c r="C26" s="294">
        <v>9842.2000000000007</v>
      </c>
      <c r="D26" s="294">
        <v>9842.2000000000007</v>
      </c>
      <c r="E26" s="292"/>
      <c r="F26" s="292"/>
      <c r="G26" s="292"/>
      <c r="H26" s="294"/>
      <c r="I26" s="294"/>
      <c r="J26" s="292"/>
      <c r="K26" s="294"/>
      <c r="L26" s="295"/>
      <c r="M26" s="294"/>
      <c r="N26" s="291">
        <f t="shared" si="0"/>
        <v>29357.56</v>
      </c>
    </row>
    <row r="27" spans="1:14" x14ac:dyDescent="0.3">
      <c r="A27" s="238" t="s">
        <v>185</v>
      </c>
      <c r="B27" s="294">
        <f>901.6+572.96+982.8</f>
        <v>2457.3599999999997</v>
      </c>
      <c r="C27" s="294">
        <v>2518.8000000000002</v>
      </c>
      <c r="D27" s="294">
        <v>2518.8000000000002</v>
      </c>
      <c r="E27" s="292"/>
      <c r="F27" s="292"/>
      <c r="G27" s="292"/>
      <c r="H27" s="294"/>
      <c r="I27" s="294"/>
      <c r="J27" s="292"/>
      <c r="K27" s="294"/>
      <c r="L27" s="295"/>
      <c r="M27" s="294"/>
      <c r="N27" s="291">
        <f t="shared" si="0"/>
        <v>7494.96</v>
      </c>
    </row>
    <row r="28" spans="1:14" x14ac:dyDescent="0.3">
      <c r="A28" s="238" t="s">
        <v>186</v>
      </c>
      <c r="B28" s="294">
        <f>112.7+71.62+122.85</f>
        <v>307.16999999999996</v>
      </c>
      <c r="C28" s="294">
        <v>314.85000000000002</v>
      </c>
      <c r="D28" s="294">
        <v>314.85000000000002</v>
      </c>
      <c r="E28" s="292"/>
      <c r="F28" s="292"/>
      <c r="G28" s="292"/>
      <c r="H28" s="306"/>
      <c r="I28" s="294"/>
      <c r="J28" s="292"/>
      <c r="K28" s="294"/>
      <c r="L28" s="295"/>
      <c r="M28" s="294"/>
      <c r="N28" s="291">
        <f t="shared" si="0"/>
        <v>936.87</v>
      </c>
    </row>
    <row r="29" spans="1:14" x14ac:dyDescent="0.3">
      <c r="A29" s="238" t="s">
        <v>187</v>
      </c>
      <c r="B29" s="294">
        <v>2827.85</v>
      </c>
      <c r="C29" s="294">
        <v>3027.3</v>
      </c>
      <c r="D29" s="294">
        <v>3027.3</v>
      </c>
      <c r="E29" s="292"/>
      <c r="F29" s="292"/>
      <c r="G29" s="292"/>
      <c r="H29" s="306"/>
      <c r="I29" s="294"/>
      <c r="J29" s="292"/>
      <c r="K29" s="294"/>
      <c r="L29" s="295"/>
      <c r="M29" s="294"/>
      <c r="N29" s="291">
        <f t="shared" si="0"/>
        <v>8882.4500000000007</v>
      </c>
    </row>
    <row r="30" spans="1:14" s="333" customFormat="1" x14ac:dyDescent="0.3">
      <c r="A30" s="238" t="s">
        <v>225</v>
      </c>
      <c r="B30" s="294">
        <v>71.62</v>
      </c>
      <c r="C30" s="294">
        <v>73.41</v>
      </c>
      <c r="D30" s="294">
        <v>73.41</v>
      </c>
      <c r="E30" s="292"/>
      <c r="F30" s="292"/>
      <c r="G30" s="292"/>
      <c r="H30" s="306"/>
      <c r="I30" s="294"/>
      <c r="J30" s="292"/>
      <c r="K30" s="294"/>
      <c r="L30" s="295"/>
      <c r="M30" s="294"/>
      <c r="N30" s="291">
        <f t="shared" si="0"/>
        <v>218.44</v>
      </c>
    </row>
    <row r="31" spans="1:14" x14ac:dyDescent="0.3">
      <c r="A31" s="238" t="s">
        <v>190</v>
      </c>
      <c r="B31" s="294">
        <v>500</v>
      </c>
      <c r="C31" s="294">
        <v>500</v>
      </c>
      <c r="D31" s="294">
        <v>500</v>
      </c>
      <c r="E31" s="292"/>
      <c r="F31" s="292"/>
      <c r="G31" s="292"/>
      <c r="H31" s="306"/>
      <c r="I31" s="294"/>
      <c r="J31" s="292"/>
      <c r="K31" s="294"/>
      <c r="L31" s="295"/>
      <c r="M31" s="294"/>
      <c r="N31" s="291">
        <f t="shared" si="0"/>
        <v>1500</v>
      </c>
    </row>
    <row r="32" spans="1:14" x14ac:dyDescent="0.3">
      <c r="A32" s="238" t="s">
        <v>189</v>
      </c>
      <c r="B32" s="294">
        <f>1+18.8+29.5+2.1+9.7</f>
        <v>61.099999999999994</v>
      </c>
      <c r="C32" s="318">
        <f>19.4+2.1+48.5</f>
        <v>70</v>
      </c>
      <c r="D32" s="318">
        <f>0.35+0.35+19.4+19.4+38.8</f>
        <v>78.3</v>
      </c>
      <c r="E32" s="298"/>
      <c r="F32" s="298"/>
      <c r="G32" s="298"/>
      <c r="H32" s="297"/>
      <c r="I32" s="318"/>
      <c r="J32" s="297"/>
      <c r="K32" s="297"/>
      <c r="L32" s="299"/>
      <c r="M32" s="318"/>
      <c r="N32" s="291">
        <f t="shared" si="0"/>
        <v>209.39999999999998</v>
      </c>
    </row>
    <row r="33" spans="1:14" x14ac:dyDescent="0.3">
      <c r="A33" s="258" t="s">
        <v>193</v>
      </c>
      <c r="B33" s="259">
        <f>SUM(B4:B32)</f>
        <v>67463.350000000006</v>
      </c>
      <c r="C33" s="259">
        <f>SUM(C4:C32)</f>
        <v>66549.98000000001</v>
      </c>
      <c r="D33" s="259">
        <f>SUM(D4:D32)</f>
        <v>72375.570000000022</v>
      </c>
      <c r="E33" s="259">
        <f t="shared" ref="E33:N33" si="1">SUM(E4:E32)</f>
        <v>0</v>
      </c>
      <c r="F33" s="259">
        <f t="shared" si="1"/>
        <v>0</v>
      </c>
      <c r="G33" s="259">
        <f t="shared" si="1"/>
        <v>0</v>
      </c>
      <c r="H33" s="259">
        <f>SUM(H4:H32)</f>
        <v>0</v>
      </c>
      <c r="I33" s="259">
        <f t="shared" si="1"/>
        <v>0</v>
      </c>
      <c r="J33" s="259">
        <f t="shared" si="1"/>
        <v>0</v>
      </c>
      <c r="K33" s="259">
        <f t="shared" si="1"/>
        <v>0</v>
      </c>
      <c r="L33" s="259">
        <f t="shared" si="1"/>
        <v>0</v>
      </c>
      <c r="M33" s="259">
        <f>SUM(M4:M32)</f>
        <v>0</v>
      </c>
      <c r="N33" s="259">
        <f t="shared" si="1"/>
        <v>206388.90000000002</v>
      </c>
    </row>
    <row r="34" spans="1:14" ht="10.5" customHeight="1" thickBot="1" x14ac:dyDescent="0.35">
      <c r="A34" s="253"/>
      <c r="B34" s="242"/>
      <c r="C34" s="243"/>
      <c r="D34" s="243"/>
      <c r="E34" s="243"/>
      <c r="F34" s="243"/>
      <c r="G34" s="243"/>
      <c r="H34" s="243"/>
      <c r="I34" s="243"/>
      <c r="J34" s="243"/>
      <c r="K34" s="243"/>
      <c r="L34" s="244"/>
      <c r="M34" s="243"/>
      <c r="N34" s="245"/>
    </row>
    <row r="35" spans="1:14" ht="27" customHeight="1" thickBot="1" x14ac:dyDescent="0.35">
      <c r="A35" s="250" t="s">
        <v>194</v>
      </c>
      <c r="B35" s="252" t="s">
        <v>107</v>
      </c>
      <c r="C35" s="252" t="s">
        <v>108</v>
      </c>
      <c r="D35" s="252" t="s">
        <v>109</v>
      </c>
      <c r="E35" s="252" t="s">
        <v>110</v>
      </c>
      <c r="F35" s="252" t="s">
        <v>111</v>
      </c>
      <c r="G35" s="252" t="s">
        <v>112</v>
      </c>
      <c r="H35" s="252" t="s">
        <v>113</v>
      </c>
      <c r="I35" s="252" t="s">
        <v>115</v>
      </c>
      <c r="J35" s="252" t="s">
        <v>116</v>
      </c>
      <c r="K35" s="252" t="s">
        <v>117</v>
      </c>
      <c r="L35" s="252" t="s">
        <v>118</v>
      </c>
      <c r="M35" s="252" t="s">
        <v>119</v>
      </c>
      <c r="N35" s="252" t="s">
        <v>11</v>
      </c>
    </row>
    <row r="36" spans="1:14" s="79" customFormat="1" ht="18" customHeight="1" x14ac:dyDescent="0.4">
      <c r="A36" s="258" t="s">
        <v>215</v>
      </c>
      <c r="B36" s="259">
        <f>SUM(B37:B40)</f>
        <v>3408</v>
      </c>
      <c r="C36" s="259">
        <f>SUM(C37:C40)</f>
        <v>3858</v>
      </c>
      <c r="D36" s="259">
        <f t="shared" ref="D36:N36" si="2">SUM(D37:D40)</f>
        <v>2100</v>
      </c>
      <c r="E36" s="259">
        <f t="shared" si="2"/>
        <v>0</v>
      </c>
      <c r="F36" s="259">
        <f t="shared" si="2"/>
        <v>0</v>
      </c>
      <c r="G36" s="259">
        <f t="shared" si="2"/>
        <v>0</v>
      </c>
      <c r="H36" s="259">
        <f>SUM(H37:H40)</f>
        <v>0</v>
      </c>
      <c r="I36" s="259">
        <f t="shared" si="2"/>
        <v>0</v>
      </c>
      <c r="J36" s="259">
        <f t="shared" si="2"/>
        <v>0</v>
      </c>
      <c r="K36" s="259">
        <f t="shared" si="2"/>
        <v>0</v>
      </c>
      <c r="L36" s="259">
        <f t="shared" si="2"/>
        <v>0</v>
      </c>
      <c r="M36" s="259">
        <f>SUM(M37:M40)</f>
        <v>0</v>
      </c>
      <c r="N36" s="259">
        <f t="shared" si="2"/>
        <v>9366</v>
      </c>
    </row>
    <row r="37" spans="1:14" s="302" customFormat="1" x14ac:dyDescent="0.3">
      <c r="A37" s="261" t="s">
        <v>216</v>
      </c>
      <c r="B37" s="240">
        <f>2058+1350</f>
        <v>3408</v>
      </c>
      <c r="C37" s="240">
        <v>2058</v>
      </c>
      <c r="D37" s="263">
        <v>900</v>
      </c>
      <c r="E37" s="262"/>
      <c r="F37" s="262"/>
      <c r="G37" s="262"/>
      <c r="H37" s="263"/>
      <c r="I37" s="262"/>
      <c r="J37" s="262"/>
      <c r="K37" s="262"/>
      <c r="L37" s="301"/>
      <c r="M37" s="263"/>
      <c r="N37" s="262">
        <f>SUM(B37:M37)</f>
        <v>6366</v>
      </c>
    </row>
    <row r="38" spans="1:14" s="302" customFormat="1" x14ac:dyDescent="0.3">
      <c r="A38" s="261" t="s">
        <v>217</v>
      </c>
      <c r="B38" s="239"/>
      <c r="C38" s="240">
        <f>900+900</f>
        <v>1800</v>
      </c>
      <c r="D38" s="263">
        <f>600+600</f>
        <v>1200</v>
      </c>
      <c r="E38" s="262"/>
      <c r="F38" s="262"/>
      <c r="G38" s="262"/>
      <c r="H38" s="263"/>
      <c r="I38" s="263"/>
      <c r="J38" s="262"/>
      <c r="K38" s="262"/>
      <c r="L38" s="301"/>
      <c r="M38" s="263"/>
      <c r="N38" s="262">
        <f t="shared" ref="N38:N44" si="3">SUM(B38:M38)</f>
        <v>3000</v>
      </c>
    </row>
    <row r="39" spans="1:14" s="302" customFormat="1" x14ac:dyDescent="0.3">
      <c r="A39" s="261" t="s">
        <v>218</v>
      </c>
      <c r="B39" s="239"/>
      <c r="C39" s="240"/>
      <c r="D39" s="263"/>
      <c r="E39" s="262"/>
      <c r="F39" s="262"/>
      <c r="G39" s="262"/>
      <c r="H39" s="262"/>
      <c r="I39" s="262"/>
      <c r="J39" s="262"/>
      <c r="K39" s="262"/>
      <c r="L39" s="301"/>
      <c r="M39" s="262"/>
      <c r="N39" s="262">
        <f t="shared" si="3"/>
        <v>0</v>
      </c>
    </row>
    <row r="40" spans="1:14" s="302" customFormat="1" x14ac:dyDescent="0.3">
      <c r="A40" s="261" t="s">
        <v>219</v>
      </c>
      <c r="B40" s="262"/>
      <c r="C40" s="263"/>
      <c r="D40" s="263"/>
      <c r="E40" s="262"/>
      <c r="F40" s="262"/>
      <c r="G40" s="262"/>
      <c r="H40" s="262"/>
      <c r="I40" s="262"/>
      <c r="J40" s="262"/>
      <c r="K40" s="262"/>
      <c r="L40" s="301"/>
      <c r="M40" s="262"/>
      <c r="N40" s="262">
        <f t="shared" si="3"/>
        <v>0</v>
      </c>
    </row>
    <row r="41" spans="1:14" s="79" customFormat="1" ht="18" customHeight="1" x14ac:dyDescent="0.4">
      <c r="A41" s="258" t="s">
        <v>220</v>
      </c>
      <c r="B41" s="259">
        <f>SUM(B42:B44)</f>
        <v>1449.43</v>
      </c>
      <c r="C41" s="259">
        <f>SUM(C42:C44)</f>
        <v>1327.26</v>
      </c>
      <c r="D41" s="259">
        <f>SUM(D42:D44)</f>
        <v>0</v>
      </c>
      <c r="E41" s="259">
        <f t="shared" ref="E41:N41" si="4">SUM(E42:E44)</f>
        <v>0</v>
      </c>
      <c r="F41" s="259">
        <f t="shared" si="4"/>
        <v>0</v>
      </c>
      <c r="G41" s="259">
        <f t="shared" si="4"/>
        <v>0</v>
      </c>
      <c r="H41" s="259">
        <f>SUM(H42:H44)</f>
        <v>0</v>
      </c>
      <c r="I41" s="259">
        <f t="shared" si="4"/>
        <v>0</v>
      </c>
      <c r="J41" s="259">
        <f t="shared" si="4"/>
        <v>0</v>
      </c>
      <c r="K41" s="259">
        <f t="shared" si="4"/>
        <v>0</v>
      </c>
      <c r="L41" s="259">
        <f t="shared" si="4"/>
        <v>0</v>
      </c>
      <c r="M41" s="259">
        <f t="shared" si="4"/>
        <v>0</v>
      </c>
      <c r="N41" s="259">
        <f t="shared" si="4"/>
        <v>2776.69</v>
      </c>
    </row>
    <row r="42" spans="1:14" s="300" customFormat="1" x14ac:dyDescent="0.3">
      <c r="A42" s="257" t="s">
        <v>216</v>
      </c>
      <c r="B42" s="240">
        <v>1449.43</v>
      </c>
      <c r="C42" s="240">
        <v>1327.26</v>
      </c>
      <c r="D42" s="239"/>
      <c r="E42" s="239"/>
      <c r="F42" s="239"/>
      <c r="G42" s="239"/>
      <c r="H42" s="239"/>
      <c r="I42" s="239"/>
      <c r="J42" s="239"/>
      <c r="K42" s="240"/>
      <c r="L42" s="241"/>
      <c r="M42" s="239"/>
      <c r="N42" s="263">
        <f t="shared" si="3"/>
        <v>2776.69</v>
      </c>
    </row>
    <row r="43" spans="1:14" s="300" customFormat="1" x14ac:dyDescent="0.3">
      <c r="A43" s="257" t="s">
        <v>217</v>
      </c>
      <c r="B43" s="239"/>
      <c r="C43" s="239"/>
      <c r="D43" s="239"/>
      <c r="E43" s="239"/>
      <c r="F43" s="239"/>
      <c r="G43" s="239"/>
      <c r="H43" s="240"/>
      <c r="I43" s="240"/>
      <c r="J43" s="239"/>
      <c r="K43" s="240"/>
      <c r="L43" s="241"/>
      <c r="M43" s="239"/>
      <c r="N43" s="263">
        <f t="shared" si="3"/>
        <v>0</v>
      </c>
    </row>
    <row r="44" spans="1:14" s="300" customFormat="1" x14ac:dyDescent="0.3">
      <c r="A44" s="257" t="s">
        <v>219</v>
      </c>
      <c r="B44" s="239"/>
      <c r="C44" s="239"/>
      <c r="D44" s="239"/>
      <c r="E44" s="239"/>
      <c r="F44" s="239"/>
      <c r="G44" s="239"/>
      <c r="H44" s="239"/>
      <c r="I44" s="239"/>
      <c r="J44" s="239"/>
      <c r="K44" s="240"/>
      <c r="L44" s="241"/>
      <c r="M44" s="239"/>
      <c r="N44" s="263">
        <f t="shared" si="3"/>
        <v>0</v>
      </c>
    </row>
    <row r="45" spans="1:14" s="79" customFormat="1" ht="18" customHeight="1" x14ac:dyDescent="0.4">
      <c r="A45" s="258" t="s">
        <v>208</v>
      </c>
      <c r="B45" s="259">
        <f>SUM(B46:B47)</f>
        <v>0</v>
      </c>
      <c r="C45" s="259">
        <f t="shared" ref="C45:N45" si="5">SUM(C46:C47)</f>
        <v>0</v>
      </c>
      <c r="D45" s="259">
        <f t="shared" si="5"/>
        <v>187.06</v>
      </c>
      <c r="E45" s="259">
        <f t="shared" si="5"/>
        <v>0</v>
      </c>
      <c r="F45" s="259">
        <f t="shared" si="5"/>
        <v>0</v>
      </c>
      <c r="G45" s="259">
        <f t="shared" si="5"/>
        <v>0</v>
      </c>
      <c r="H45" s="259">
        <f t="shared" si="5"/>
        <v>0</v>
      </c>
      <c r="I45" s="259">
        <f t="shared" si="5"/>
        <v>0</v>
      </c>
      <c r="J45" s="259">
        <f t="shared" si="5"/>
        <v>0</v>
      </c>
      <c r="K45" s="259">
        <f t="shared" si="5"/>
        <v>0</v>
      </c>
      <c r="L45" s="259">
        <f t="shared" si="5"/>
        <v>0</v>
      </c>
      <c r="M45" s="259">
        <f t="shared" si="5"/>
        <v>0</v>
      </c>
      <c r="N45" s="259">
        <f t="shared" si="5"/>
        <v>187.06</v>
      </c>
    </row>
    <row r="46" spans="1:14" x14ac:dyDescent="0.3">
      <c r="A46" s="257" t="s">
        <v>212</v>
      </c>
      <c r="B46" s="239"/>
      <c r="C46" s="239"/>
      <c r="D46" s="240">
        <f>51.28+46.38</f>
        <v>97.66</v>
      </c>
      <c r="E46" s="239"/>
      <c r="F46" s="239"/>
      <c r="G46" s="239"/>
      <c r="H46" s="239"/>
      <c r="I46" s="239"/>
      <c r="J46" s="239"/>
      <c r="K46" s="240"/>
      <c r="L46" s="241"/>
      <c r="M46" s="239"/>
      <c r="N46" s="239">
        <f>SUM(B46:M46)</f>
        <v>97.66</v>
      </c>
    </row>
    <row r="47" spans="1:14" s="290" customFormat="1" x14ac:dyDescent="0.3">
      <c r="A47" s="257" t="s">
        <v>213</v>
      </c>
      <c r="B47" s="239"/>
      <c r="C47" s="239"/>
      <c r="D47" s="240">
        <v>89.4</v>
      </c>
      <c r="E47" s="239"/>
      <c r="F47" s="239"/>
      <c r="G47" s="239"/>
      <c r="H47" s="239"/>
      <c r="I47" s="239"/>
      <c r="J47" s="239"/>
      <c r="K47" s="240"/>
      <c r="L47" s="241"/>
      <c r="M47" s="239"/>
      <c r="N47" s="239">
        <f>SUM(B47:M47)</f>
        <v>89.4</v>
      </c>
    </row>
    <row r="48" spans="1:14" s="79" customFormat="1" ht="18" customHeight="1" x14ac:dyDescent="0.4">
      <c r="A48" s="258" t="s">
        <v>209</v>
      </c>
      <c r="B48" s="259">
        <f t="shared" ref="B48:N48" si="6">SUM(B49:B70)</f>
        <v>2132.88</v>
      </c>
      <c r="C48" s="259">
        <f t="shared" si="6"/>
        <v>2589.11</v>
      </c>
      <c r="D48" s="259">
        <f t="shared" si="6"/>
        <v>6682.2</v>
      </c>
      <c r="E48" s="259">
        <f t="shared" si="6"/>
        <v>0</v>
      </c>
      <c r="F48" s="259">
        <f t="shared" si="6"/>
        <v>0</v>
      </c>
      <c r="G48" s="259">
        <f t="shared" si="6"/>
        <v>0</v>
      </c>
      <c r="H48" s="259">
        <f t="shared" si="6"/>
        <v>0</v>
      </c>
      <c r="I48" s="259">
        <f t="shared" si="6"/>
        <v>0</v>
      </c>
      <c r="J48" s="259">
        <f t="shared" si="6"/>
        <v>0</v>
      </c>
      <c r="K48" s="259">
        <f t="shared" si="6"/>
        <v>0</v>
      </c>
      <c r="L48" s="259">
        <f t="shared" si="6"/>
        <v>0</v>
      </c>
      <c r="M48" s="259">
        <f t="shared" si="6"/>
        <v>0</v>
      </c>
      <c r="N48" s="259">
        <f t="shared" si="6"/>
        <v>11404.189999999999</v>
      </c>
    </row>
    <row r="49" spans="1:14" x14ac:dyDescent="0.3">
      <c r="A49" s="257" t="s">
        <v>210</v>
      </c>
      <c r="B49" s="240">
        <v>100.02</v>
      </c>
      <c r="C49" s="240">
        <v>309.76</v>
      </c>
      <c r="D49" s="240">
        <f>239.23+117.97</f>
        <v>357.2</v>
      </c>
      <c r="E49" s="239"/>
      <c r="F49" s="239"/>
      <c r="G49" s="239"/>
      <c r="H49" s="239"/>
      <c r="I49" s="240"/>
      <c r="J49" s="239"/>
      <c r="K49" s="240"/>
      <c r="L49" s="241"/>
      <c r="M49" s="239"/>
      <c r="N49" s="239">
        <f>SUM(B49:M49)</f>
        <v>766.98</v>
      </c>
    </row>
    <row r="50" spans="1:14" s="251" customFormat="1" x14ac:dyDescent="0.3">
      <c r="A50" s="257" t="s">
        <v>226</v>
      </c>
      <c r="B50" s="240">
        <f>230.06+200+154</f>
        <v>584.05999999999995</v>
      </c>
      <c r="C50" s="240"/>
      <c r="D50" s="240"/>
      <c r="E50" s="239"/>
      <c r="F50" s="239"/>
      <c r="G50" s="239"/>
      <c r="H50" s="239"/>
      <c r="I50" s="239"/>
      <c r="J50" s="239"/>
      <c r="K50" s="239"/>
      <c r="L50" s="241"/>
      <c r="M50" s="239"/>
      <c r="N50" s="239">
        <f t="shared" ref="N50:N70" si="7">SUM(B50:M50)</f>
        <v>584.05999999999995</v>
      </c>
    </row>
    <row r="51" spans="1:14" s="251" customFormat="1" x14ac:dyDescent="0.3">
      <c r="A51" s="358" t="s">
        <v>239</v>
      </c>
      <c r="B51" s="302"/>
      <c r="C51" s="240">
        <v>1914.7</v>
      </c>
      <c r="D51" s="240"/>
      <c r="E51" s="239"/>
      <c r="F51" s="239"/>
      <c r="G51" s="239"/>
      <c r="H51" s="239"/>
      <c r="I51" s="239"/>
      <c r="J51" s="239"/>
      <c r="K51" s="239"/>
      <c r="L51" s="241"/>
      <c r="M51" s="239"/>
      <c r="N51" s="239">
        <f t="shared" si="7"/>
        <v>1914.7</v>
      </c>
    </row>
    <row r="52" spans="1:14" s="290" customFormat="1" x14ac:dyDescent="0.3">
      <c r="A52" s="257" t="s">
        <v>240</v>
      </c>
      <c r="B52" s="240"/>
      <c r="C52" s="240">
        <v>364.65</v>
      </c>
      <c r="D52" s="240"/>
      <c r="E52" s="239"/>
      <c r="F52" s="239"/>
      <c r="G52" s="239"/>
      <c r="H52" s="239"/>
      <c r="I52" s="239"/>
      <c r="J52" s="239"/>
      <c r="K52" s="239"/>
      <c r="L52" s="241"/>
      <c r="M52" s="239"/>
      <c r="N52" s="239">
        <f t="shared" si="7"/>
        <v>364.65</v>
      </c>
    </row>
    <row r="53" spans="1:14" s="290" customFormat="1" x14ac:dyDescent="0.3">
      <c r="A53" s="257" t="s">
        <v>241</v>
      </c>
      <c r="B53" s="240">
        <v>1448.8</v>
      </c>
      <c r="C53" s="240"/>
      <c r="D53" s="240"/>
      <c r="E53" s="239"/>
      <c r="F53" s="239"/>
      <c r="G53" s="239"/>
      <c r="H53" s="239"/>
      <c r="I53" s="240"/>
      <c r="J53" s="239"/>
      <c r="K53" s="239"/>
      <c r="L53" s="241"/>
      <c r="M53" s="239"/>
      <c r="N53" s="239">
        <f t="shared" si="7"/>
        <v>1448.8</v>
      </c>
    </row>
    <row r="54" spans="1:14" s="290" customFormat="1" x14ac:dyDescent="0.3">
      <c r="A54" s="257" t="s">
        <v>242</v>
      </c>
      <c r="B54" s="240"/>
      <c r="C54" s="240"/>
      <c r="D54" s="240">
        <v>1280</v>
      </c>
      <c r="E54" s="239"/>
      <c r="F54" s="239"/>
      <c r="G54" s="239"/>
      <c r="H54" s="239"/>
      <c r="I54" s="239"/>
      <c r="J54" s="239"/>
      <c r="K54" s="239"/>
      <c r="L54" s="241"/>
      <c r="M54" s="239"/>
      <c r="N54" s="239">
        <f t="shared" si="7"/>
        <v>1280</v>
      </c>
    </row>
    <row r="55" spans="1:14" s="290" customFormat="1" x14ac:dyDescent="0.3">
      <c r="A55" s="257" t="s">
        <v>243</v>
      </c>
      <c r="B55" s="239"/>
      <c r="C55" s="240"/>
      <c r="D55" s="240">
        <v>3875</v>
      </c>
      <c r="E55" s="239"/>
      <c r="F55" s="239"/>
      <c r="G55" s="239"/>
      <c r="H55" s="239"/>
      <c r="I55" s="239"/>
      <c r="J55" s="239"/>
      <c r="K55" s="239"/>
      <c r="L55" s="241"/>
      <c r="M55" s="239"/>
      <c r="N55" s="239">
        <f t="shared" si="7"/>
        <v>3875</v>
      </c>
    </row>
    <row r="56" spans="1:14" s="290" customFormat="1" x14ac:dyDescent="0.3">
      <c r="A56" s="257" t="s">
        <v>244</v>
      </c>
      <c r="B56" s="239"/>
      <c r="C56" s="240"/>
      <c r="D56" s="240">
        <v>870</v>
      </c>
      <c r="E56" s="239"/>
      <c r="F56" s="239"/>
      <c r="G56" s="239"/>
      <c r="H56" s="239"/>
      <c r="I56" s="239"/>
      <c r="J56" s="239"/>
      <c r="K56" s="239"/>
      <c r="L56" s="241"/>
      <c r="M56" s="239"/>
      <c r="N56" s="239">
        <f t="shared" si="7"/>
        <v>870</v>
      </c>
    </row>
    <row r="57" spans="1:14" s="317" customFormat="1" x14ac:dyDescent="0.3">
      <c r="A57" s="257" t="s">
        <v>245</v>
      </c>
      <c r="B57" s="239"/>
      <c r="C57" s="240"/>
      <c r="D57" s="240">
        <v>300</v>
      </c>
      <c r="E57" s="239"/>
      <c r="F57" s="239"/>
      <c r="G57" s="239"/>
      <c r="H57" s="239"/>
      <c r="I57" s="240"/>
      <c r="J57" s="239"/>
      <c r="K57" s="239"/>
      <c r="L57" s="241"/>
      <c r="M57" s="239"/>
      <c r="N57" s="239">
        <f t="shared" si="7"/>
        <v>300</v>
      </c>
    </row>
    <row r="58" spans="1:14" s="303" customFormat="1" x14ac:dyDescent="0.3">
      <c r="A58" s="257"/>
      <c r="B58" s="239"/>
      <c r="C58" s="240"/>
      <c r="D58" s="239"/>
      <c r="E58" s="239"/>
      <c r="F58" s="239"/>
      <c r="G58" s="239"/>
      <c r="H58" s="239"/>
      <c r="I58" s="239"/>
      <c r="J58" s="239"/>
      <c r="K58" s="239"/>
      <c r="L58" s="241"/>
      <c r="M58" s="239"/>
      <c r="N58" s="239">
        <f t="shared" si="7"/>
        <v>0</v>
      </c>
    </row>
    <row r="59" spans="1:14" s="320" customFormat="1" x14ac:dyDescent="0.3">
      <c r="A59" s="257"/>
      <c r="B59" s="239"/>
      <c r="C59" s="240"/>
      <c r="D59" s="239"/>
      <c r="E59" s="239"/>
      <c r="F59" s="239"/>
      <c r="G59" s="239"/>
      <c r="H59" s="239"/>
      <c r="I59" s="239"/>
      <c r="J59" s="239"/>
      <c r="K59" s="239"/>
      <c r="L59" s="241"/>
      <c r="M59" s="239"/>
      <c r="N59" s="239">
        <f t="shared" si="7"/>
        <v>0</v>
      </c>
    </row>
    <row r="60" spans="1:14" s="319" customFormat="1" x14ac:dyDescent="0.3">
      <c r="B60" s="239"/>
      <c r="C60" s="240"/>
      <c r="D60" s="239"/>
      <c r="E60" s="239"/>
      <c r="F60" s="239"/>
      <c r="G60" s="239"/>
      <c r="H60" s="239"/>
      <c r="I60" s="239"/>
      <c r="J60" s="239"/>
      <c r="K60" s="239"/>
      <c r="L60" s="241"/>
      <c r="M60" s="240"/>
      <c r="N60" s="239">
        <f t="shared" si="7"/>
        <v>0</v>
      </c>
    </row>
    <row r="61" spans="1:14" s="333" customFormat="1" x14ac:dyDescent="0.3">
      <c r="A61" s="257"/>
      <c r="B61" s="239"/>
      <c r="C61" s="239"/>
      <c r="D61" s="239"/>
      <c r="E61" s="239"/>
      <c r="F61" s="239"/>
      <c r="G61" s="239"/>
      <c r="H61" s="239"/>
      <c r="I61" s="239"/>
      <c r="J61" s="239"/>
      <c r="K61" s="239"/>
      <c r="L61" s="241"/>
      <c r="M61" s="240"/>
      <c r="N61" s="239">
        <f t="shared" si="7"/>
        <v>0</v>
      </c>
    </row>
    <row r="62" spans="1:14" s="333" customFormat="1" x14ac:dyDescent="0.3">
      <c r="A62" s="257"/>
      <c r="B62" s="239"/>
      <c r="C62" s="239"/>
      <c r="D62" s="239"/>
      <c r="E62" s="239"/>
      <c r="F62" s="239"/>
      <c r="G62" s="239"/>
      <c r="H62" s="239"/>
      <c r="I62" s="239"/>
      <c r="J62" s="239"/>
      <c r="K62" s="239"/>
      <c r="L62" s="241"/>
      <c r="M62" s="240"/>
      <c r="N62" s="239">
        <f t="shared" si="7"/>
        <v>0</v>
      </c>
    </row>
    <row r="63" spans="1:14" s="333" customFormat="1" x14ac:dyDescent="0.3">
      <c r="A63" s="257"/>
      <c r="B63" s="239"/>
      <c r="C63" s="239"/>
      <c r="D63" s="239"/>
      <c r="E63" s="239"/>
      <c r="F63" s="239"/>
      <c r="G63" s="239"/>
      <c r="H63" s="239"/>
      <c r="I63" s="239"/>
      <c r="J63" s="239"/>
      <c r="K63" s="239"/>
      <c r="L63" s="241"/>
      <c r="M63" s="240"/>
      <c r="N63" s="239">
        <f t="shared" si="7"/>
        <v>0</v>
      </c>
    </row>
    <row r="64" spans="1:14" s="333" customFormat="1" x14ac:dyDescent="0.3">
      <c r="A64" s="257"/>
      <c r="B64" s="239"/>
      <c r="C64" s="239"/>
      <c r="D64" s="239"/>
      <c r="E64" s="239"/>
      <c r="F64" s="239"/>
      <c r="G64" s="239"/>
      <c r="H64" s="239"/>
      <c r="I64" s="239"/>
      <c r="J64" s="239"/>
      <c r="K64" s="239"/>
      <c r="L64" s="241"/>
      <c r="M64" s="240"/>
      <c r="N64" s="239">
        <f t="shared" si="7"/>
        <v>0</v>
      </c>
    </row>
    <row r="65" spans="1:16" s="333" customFormat="1" x14ac:dyDescent="0.3">
      <c r="A65" s="257"/>
      <c r="B65" s="239"/>
      <c r="C65" s="239"/>
      <c r="D65" s="239"/>
      <c r="E65" s="239"/>
      <c r="F65" s="239"/>
      <c r="G65" s="239"/>
      <c r="H65" s="239"/>
      <c r="I65" s="239"/>
      <c r="J65" s="239"/>
      <c r="K65" s="239"/>
      <c r="L65" s="241"/>
      <c r="M65" s="240"/>
      <c r="N65" s="239">
        <f t="shared" si="7"/>
        <v>0</v>
      </c>
    </row>
    <row r="66" spans="1:16" s="333" customFormat="1" x14ac:dyDescent="0.3">
      <c r="A66" s="257"/>
      <c r="B66" s="239"/>
      <c r="C66" s="239"/>
      <c r="D66" s="239"/>
      <c r="E66" s="239"/>
      <c r="F66" s="239"/>
      <c r="G66" s="239"/>
      <c r="H66" s="239"/>
      <c r="I66" s="239"/>
      <c r="J66" s="239"/>
      <c r="K66" s="239"/>
      <c r="L66" s="241"/>
      <c r="M66" s="239"/>
      <c r="N66" s="239">
        <f t="shared" si="7"/>
        <v>0</v>
      </c>
    </row>
    <row r="67" spans="1:16" s="333" customFormat="1" x14ac:dyDescent="0.3">
      <c r="A67" s="257"/>
      <c r="B67" s="239"/>
      <c r="C67" s="239"/>
      <c r="D67" s="239"/>
      <c r="E67" s="239"/>
      <c r="F67" s="239"/>
      <c r="G67" s="239"/>
      <c r="H67" s="239"/>
      <c r="I67" s="239"/>
      <c r="J67" s="239"/>
      <c r="K67" s="239"/>
      <c r="L67" s="241"/>
      <c r="M67" s="239"/>
      <c r="N67" s="239">
        <f t="shared" si="7"/>
        <v>0</v>
      </c>
    </row>
    <row r="68" spans="1:16" s="333" customFormat="1" x14ac:dyDescent="0.3">
      <c r="B68" s="239"/>
      <c r="C68" s="239"/>
      <c r="D68" s="239"/>
      <c r="E68" s="239"/>
      <c r="F68" s="239"/>
      <c r="G68" s="239"/>
      <c r="H68" s="239"/>
      <c r="I68" s="239"/>
      <c r="J68" s="239"/>
      <c r="K68" s="239"/>
      <c r="L68" s="241"/>
      <c r="M68" s="239"/>
      <c r="N68" s="239">
        <f t="shared" si="7"/>
        <v>0</v>
      </c>
    </row>
    <row r="69" spans="1:16" s="333" customFormat="1" x14ac:dyDescent="0.3">
      <c r="A69" s="257"/>
      <c r="B69" s="239"/>
      <c r="C69" s="239"/>
      <c r="D69" s="239"/>
      <c r="E69" s="239"/>
      <c r="F69" s="239"/>
      <c r="G69" s="239"/>
      <c r="H69" s="239"/>
      <c r="I69" s="239"/>
      <c r="J69" s="239"/>
      <c r="K69" s="239"/>
      <c r="L69" s="241"/>
      <c r="M69" s="239"/>
      <c r="N69" s="239">
        <f t="shared" si="7"/>
        <v>0</v>
      </c>
    </row>
    <row r="70" spans="1:16" s="333" customFormat="1" x14ac:dyDescent="0.3">
      <c r="A70" s="257"/>
      <c r="B70" s="239"/>
      <c r="C70" s="239"/>
      <c r="D70" s="239"/>
      <c r="E70" s="239"/>
      <c r="F70" s="239"/>
      <c r="G70" s="239"/>
      <c r="H70" s="239"/>
      <c r="I70" s="239"/>
      <c r="J70" s="239"/>
      <c r="K70" s="239"/>
      <c r="L70" s="241"/>
      <c r="M70" s="239"/>
      <c r="N70" s="239">
        <f t="shared" si="7"/>
        <v>0</v>
      </c>
    </row>
    <row r="71" spans="1:16" s="19" customFormat="1" x14ac:dyDescent="0.3">
      <c r="A71" s="288" t="s">
        <v>195</v>
      </c>
      <c r="B71" s="289">
        <f>B36++B41+B45+B48</f>
        <v>6990.31</v>
      </c>
      <c r="C71" s="289">
        <f>C36++C41+C45+C48</f>
        <v>7774.3700000000008</v>
      </c>
      <c r="D71" s="289">
        <f>D36++D41+D45+D48</f>
        <v>8969.26</v>
      </c>
      <c r="E71" s="289">
        <f>E36++E41+E45+E48</f>
        <v>0</v>
      </c>
      <c r="F71" s="289">
        <f>F36+F41+F45+F48</f>
        <v>0</v>
      </c>
      <c r="G71" s="289">
        <f t="shared" ref="G71:N71" si="8">G36++G41+G45+G48</f>
        <v>0</v>
      </c>
      <c r="H71" s="289">
        <f t="shared" si="8"/>
        <v>0</v>
      </c>
      <c r="I71" s="289">
        <f t="shared" si="8"/>
        <v>0</v>
      </c>
      <c r="J71" s="289">
        <f t="shared" si="8"/>
        <v>0</v>
      </c>
      <c r="K71" s="289">
        <f t="shared" si="8"/>
        <v>0</v>
      </c>
      <c r="L71" s="289">
        <f t="shared" si="8"/>
        <v>0</v>
      </c>
      <c r="M71" s="289">
        <f t="shared" si="8"/>
        <v>0</v>
      </c>
      <c r="N71" s="289">
        <f t="shared" si="8"/>
        <v>23733.94</v>
      </c>
    </row>
    <row r="72" spans="1:16" ht="15" thickBot="1" x14ac:dyDescent="0.35">
      <c r="A72" s="253"/>
      <c r="B72" s="254"/>
      <c r="C72" s="255"/>
      <c r="D72" s="255"/>
      <c r="E72" s="255"/>
      <c r="F72" s="255"/>
      <c r="G72" s="255"/>
      <c r="H72" s="255"/>
      <c r="I72" s="255"/>
      <c r="J72" s="255"/>
      <c r="K72" s="255"/>
      <c r="L72" s="256"/>
      <c r="M72" s="255"/>
      <c r="N72" s="256"/>
    </row>
    <row r="73" spans="1:16" ht="27" customHeight="1" thickBot="1" x14ac:dyDescent="0.35">
      <c r="A73" s="250" t="s">
        <v>196</v>
      </c>
      <c r="B73" s="252" t="s">
        <v>107</v>
      </c>
      <c r="C73" s="252" t="s">
        <v>108</v>
      </c>
      <c r="D73" s="252" t="s">
        <v>109</v>
      </c>
      <c r="E73" s="252" t="s">
        <v>110</v>
      </c>
      <c r="F73" s="252" t="s">
        <v>111</v>
      </c>
      <c r="G73" s="252" t="s">
        <v>112</v>
      </c>
      <c r="H73" s="252" t="s">
        <v>113</v>
      </c>
      <c r="I73" s="252" t="s">
        <v>115</v>
      </c>
      <c r="J73" s="252" t="s">
        <v>116</v>
      </c>
      <c r="K73" s="252" t="s">
        <v>117</v>
      </c>
      <c r="L73" s="252" t="s">
        <v>118</v>
      </c>
      <c r="M73" s="252" t="s">
        <v>119</v>
      </c>
      <c r="N73" s="252" t="s">
        <v>11</v>
      </c>
    </row>
    <row r="74" spans="1:16" s="290" customFormat="1" x14ac:dyDescent="0.3">
      <c r="A74" s="257"/>
      <c r="B74" s="239"/>
      <c r="C74" s="239"/>
      <c r="D74" s="239"/>
      <c r="E74" s="239"/>
      <c r="F74" s="239"/>
      <c r="G74" s="239"/>
      <c r="H74" s="239"/>
      <c r="I74" s="239"/>
      <c r="J74" s="239"/>
      <c r="K74" s="239"/>
      <c r="L74" s="241"/>
      <c r="M74" s="239"/>
      <c r="N74" s="239">
        <f>SUM(B74:M74)</f>
        <v>0</v>
      </c>
    </row>
    <row r="75" spans="1:16" x14ac:dyDescent="0.3">
      <c r="A75" s="257"/>
      <c r="B75" s="239"/>
      <c r="C75" s="239"/>
      <c r="D75" s="239"/>
      <c r="E75" s="239"/>
      <c r="F75" s="239"/>
      <c r="G75" s="239"/>
      <c r="H75" s="239"/>
      <c r="I75" s="239"/>
      <c r="J75" s="239"/>
      <c r="K75" s="239"/>
      <c r="L75" s="241"/>
      <c r="M75" s="239"/>
      <c r="N75" s="239">
        <f>SUM(B75:M75)</f>
        <v>0</v>
      </c>
    </row>
    <row r="76" spans="1:16" x14ac:dyDescent="0.3">
      <c r="A76" s="258" t="s">
        <v>197</v>
      </c>
      <c r="B76" s="259">
        <f t="shared" ref="B76:N76" si="9">SUM(B74:B75)</f>
        <v>0</v>
      </c>
      <c r="C76" s="259">
        <f t="shared" si="9"/>
        <v>0</v>
      </c>
      <c r="D76" s="259">
        <f t="shared" si="9"/>
        <v>0</v>
      </c>
      <c r="E76" s="259">
        <f t="shared" si="9"/>
        <v>0</v>
      </c>
      <c r="F76" s="259">
        <f t="shared" si="9"/>
        <v>0</v>
      </c>
      <c r="G76" s="259">
        <f t="shared" si="9"/>
        <v>0</v>
      </c>
      <c r="H76" s="259">
        <f t="shared" si="9"/>
        <v>0</v>
      </c>
      <c r="I76" s="259">
        <f t="shared" si="9"/>
        <v>0</v>
      </c>
      <c r="J76" s="259">
        <f t="shared" si="9"/>
        <v>0</v>
      </c>
      <c r="K76" s="259">
        <f t="shared" si="9"/>
        <v>0</v>
      </c>
      <c r="L76" s="260">
        <f t="shared" si="9"/>
        <v>0</v>
      </c>
      <c r="M76" s="259">
        <f t="shared" si="9"/>
        <v>0</v>
      </c>
      <c r="N76" s="259">
        <f t="shared" si="9"/>
        <v>0</v>
      </c>
    </row>
    <row r="77" spans="1:16" ht="15" thickBot="1" x14ac:dyDescent="0.35">
      <c r="A77" s="211"/>
      <c r="B77" s="212"/>
      <c r="C77" s="212"/>
      <c r="D77" s="212"/>
      <c r="E77" s="212"/>
      <c r="F77" s="212"/>
      <c r="G77" s="212"/>
      <c r="H77" s="212"/>
      <c r="I77" s="212"/>
      <c r="J77" s="212"/>
      <c r="K77" s="212"/>
      <c r="L77" s="213"/>
      <c r="M77" s="212"/>
      <c r="N77" s="212"/>
    </row>
    <row r="78" spans="1:16" ht="27.75" customHeight="1" thickBot="1" x14ac:dyDescent="0.35">
      <c r="A78" s="246" t="s">
        <v>198</v>
      </c>
      <c r="B78" s="247">
        <f>B33+B71+B76</f>
        <v>74453.66</v>
      </c>
      <c r="C78" s="248">
        <f t="shared" ref="C78:N78" si="10">C33+C71+C76</f>
        <v>74324.350000000006</v>
      </c>
      <c r="D78" s="247">
        <f t="shared" si="10"/>
        <v>81344.830000000016</v>
      </c>
      <c r="E78" s="248">
        <f t="shared" si="10"/>
        <v>0</v>
      </c>
      <c r="F78" s="248">
        <f t="shared" si="10"/>
        <v>0</v>
      </c>
      <c r="G78" s="248">
        <f t="shared" si="10"/>
        <v>0</v>
      </c>
      <c r="H78" s="248">
        <f t="shared" si="10"/>
        <v>0</v>
      </c>
      <c r="I78" s="248">
        <f t="shared" si="10"/>
        <v>0</v>
      </c>
      <c r="J78" s="248">
        <f t="shared" si="10"/>
        <v>0</v>
      </c>
      <c r="K78" s="248">
        <f t="shared" si="10"/>
        <v>0</v>
      </c>
      <c r="L78" s="248">
        <f t="shared" si="10"/>
        <v>0</v>
      </c>
      <c r="M78" s="248">
        <f t="shared" si="10"/>
        <v>0</v>
      </c>
      <c r="N78" s="248">
        <f t="shared" si="10"/>
        <v>230122.84000000003</v>
      </c>
      <c r="P78" s="304"/>
    </row>
    <row r="80" spans="1:16" x14ac:dyDescent="0.3">
      <c r="B80" s="380"/>
      <c r="C80" s="380"/>
      <c r="D80" s="380"/>
      <c r="E80" s="379"/>
      <c r="F80" s="379"/>
      <c r="G80" s="379"/>
      <c r="H80" s="379"/>
      <c r="I80" s="379"/>
      <c r="J80" s="379"/>
      <c r="K80" s="379"/>
      <c r="L80" s="379"/>
      <c r="M80" s="379"/>
    </row>
    <row r="81" spans="2:13" x14ac:dyDescent="0.3">
      <c r="B81" s="304"/>
      <c r="C81" s="304"/>
      <c r="D81" s="304"/>
      <c r="I81" s="467"/>
    </row>
    <row r="82" spans="2:13" x14ac:dyDescent="0.3">
      <c r="D82" s="366"/>
      <c r="H82" s="304"/>
      <c r="I82" s="467"/>
      <c r="M82" s="304"/>
    </row>
    <row r="83" spans="2:13" x14ac:dyDescent="0.3">
      <c r="B83" s="304"/>
      <c r="D83" s="366"/>
      <c r="I83" s="467"/>
    </row>
    <row r="84" spans="2:13" x14ac:dyDescent="0.3">
      <c r="D84" s="467"/>
      <c r="I84" s="467"/>
    </row>
    <row r="85" spans="2:13" x14ac:dyDescent="0.3">
      <c r="B85" s="304"/>
      <c r="D85" s="467"/>
      <c r="G85" s="304"/>
      <c r="I85" s="467"/>
    </row>
    <row r="86" spans="2:13" x14ac:dyDescent="0.3">
      <c r="I86" s="467"/>
    </row>
    <row r="87" spans="2:13" x14ac:dyDescent="0.3">
      <c r="I87" s="304"/>
    </row>
    <row r="88" spans="2:13" x14ac:dyDescent="0.3">
      <c r="D88" s="304"/>
      <c r="G88" s="304"/>
      <c r="I88" s="304"/>
    </row>
    <row r="91" spans="2:13" x14ac:dyDescent="0.3">
      <c r="I91" s="468"/>
      <c r="J91" s="468"/>
    </row>
    <row r="95" spans="2:13" x14ac:dyDescent="0.3">
      <c r="I95" s="304"/>
    </row>
  </sheetData>
  <mergeCells count="6">
    <mergeCell ref="A1:N2"/>
    <mergeCell ref="I81:I82"/>
    <mergeCell ref="I83:I84"/>
    <mergeCell ref="I85:I86"/>
    <mergeCell ref="I91:J91"/>
    <mergeCell ref="D84:D85"/>
  </mergeCells>
  <pageMargins left="0.51181102362204722" right="0.51181102362204722" top="0.78740157480314965" bottom="0.78740157480314965" header="0.31496062992125984" footer="0.31496062992125984"/>
  <pageSetup paperSize="9" orientation="portrait" r:id="rId1"/>
  <rowBreaks count="2" manualBreakCount="2">
    <brk id="33" max="16383" man="1"/>
    <brk id="7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0"/>
  <sheetViews>
    <sheetView showGridLines="0" view="pageBreakPreview" zoomScaleSheetLayoutView="100" workbookViewId="0">
      <selection activeCell="O26" sqref="O26"/>
    </sheetView>
  </sheetViews>
  <sheetFormatPr defaultColWidth="9.109375" defaultRowHeight="14.4" x14ac:dyDescent="0.3"/>
  <cols>
    <col min="1" max="1" width="9.109375" style="19"/>
    <col min="2" max="2" width="14.33203125" style="19" customWidth="1"/>
    <col min="3" max="3" width="13.109375" style="19" customWidth="1"/>
    <col min="4" max="11" width="9.109375" style="19"/>
    <col min="12" max="12" width="13.5546875" style="19" customWidth="1"/>
    <col min="13" max="16384" width="9.109375" style="19"/>
  </cols>
  <sheetData>
    <row r="1" spans="1:13" s="76" customFormat="1" ht="21" x14ac:dyDescent="0.4">
      <c r="G1" s="77"/>
      <c r="H1" s="78"/>
    </row>
    <row r="2" spans="1:13" s="76" customFormat="1" ht="21" x14ac:dyDescent="0.4">
      <c r="G2" s="77"/>
      <c r="H2" s="78"/>
    </row>
    <row r="3" spans="1:13" s="76" customFormat="1" ht="21" x14ac:dyDescent="0.4">
      <c r="G3" s="77"/>
      <c r="H3" s="78"/>
    </row>
    <row r="4" spans="1:13" s="76" customFormat="1" ht="21" x14ac:dyDescent="0.4">
      <c r="G4" s="77"/>
      <c r="H4" s="78"/>
    </row>
    <row r="5" spans="1:13" s="76" customFormat="1" ht="21" x14ac:dyDescent="0.4">
      <c r="G5" s="77"/>
      <c r="H5" s="78"/>
    </row>
    <row r="6" spans="1:13" s="79" customFormat="1" ht="21" customHeight="1" x14ac:dyDescent="0.4">
      <c r="A6" s="407" t="str">
        <f>'Dem Fontes e Usos'!A6:G6</f>
        <v>Relatório Mensal – Exercício 2018</v>
      </c>
      <c r="B6" s="385"/>
      <c r="C6" s="385"/>
      <c r="D6" s="385"/>
      <c r="E6" s="385"/>
      <c r="F6" s="385"/>
      <c r="G6" s="385"/>
      <c r="H6" s="385"/>
      <c r="I6" s="385"/>
      <c r="J6" s="385"/>
      <c r="K6" s="385"/>
      <c r="L6" s="385"/>
      <c r="M6" s="76"/>
    </row>
    <row r="7" spans="1:13" s="79" customFormat="1" ht="21" customHeight="1" x14ac:dyDescent="0.4">
      <c r="A7" s="411" t="str">
        <f>'Dem Fontes e Usos'!A7:G7</f>
        <v>RESPONSÁVEL PELA ELABORAÇÃO:  José Rodrigo Lopes - Gerente Adm e Financeiro</v>
      </c>
      <c r="B7" s="386"/>
      <c r="C7" s="386"/>
      <c r="D7" s="386"/>
      <c r="E7" s="386"/>
      <c r="F7" s="386"/>
      <c r="G7" s="386"/>
      <c r="H7" s="386"/>
      <c r="I7" s="386"/>
      <c r="J7" s="386"/>
      <c r="K7" s="386"/>
      <c r="L7" s="386"/>
      <c r="M7" s="76"/>
    </row>
    <row r="8" spans="1:13" s="79" customFormat="1" ht="21" customHeight="1" x14ac:dyDescent="0.4">
      <c r="A8" s="411" t="str">
        <f>'Dem Fontes e Usos'!A8:G8</f>
        <v>DATA DE ELABORAÇÃO:  11/04/2018</v>
      </c>
      <c r="B8" s="386"/>
      <c r="C8" s="386"/>
      <c r="D8" s="386"/>
      <c r="E8" s="386"/>
      <c r="F8" s="386"/>
      <c r="G8" s="386"/>
      <c r="H8" s="386"/>
      <c r="I8" s="386"/>
      <c r="J8" s="386"/>
      <c r="K8" s="386"/>
      <c r="L8" s="386"/>
      <c r="M8" s="76"/>
    </row>
    <row r="9" spans="1:13" s="79" customFormat="1" ht="21" customHeight="1" x14ac:dyDescent="0.4">
      <c r="A9" s="411" t="str">
        <f>'Dem Fontes e Usos'!A9:G9</f>
        <v>Período: 02/01/2018 a 31/03/2018</v>
      </c>
      <c r="B9" s="386"/>
      <c r="C9" s="386"/>
      <c r="D9" s="386"/>
      <c r="E9" s="386"/>
      <c r="F9" s="386"/>
      <c r="G9" s="386"/>
      <c r="H9" s="386"/>
      <c r="I9" s="386"/>
      <c r="J9" s="386"/>
      <c r="K9" s="386"/>
      <c r="L9" s="386"/>
      <c r="M9" s="76"/>
    </row>
    <row r="10" spans="1:13" s="79" customFormat="1" ht="21" customHeight="1" x14ac:dyDescent="0.4">
      <c r="A10" s="387" t="s">
        <v>165</v>
      </c>
      <c r="B10" s="387"/>
      <c r="C10" s="387"/>
      <c r="D10" s="387"/>
      <c r="E10" s="387"/>
      <c r="F10" s="387"/>
      <c r="G10" s="387"/>
      <c r="H10" s="387"/>
      <c r="I10" s="387"/>
      <c r="J10" s="387"/>
      <c r="K10" s="387"/>
      <c r="L10" s="387"/>
      <c r="M10" s="76"/>
    </row>
    <row r="11" spans="1:13" x14ac:dyDescent="0.3">
      <c r="A11" s="484" t="s">
        <v>57</v>
      </c>
      <c r="B11" s="485"/>
      <c r="C11" s="488" t="s">
        <v>252</v>
      </c>
      <c r="D11" s="488"/>
      <c r="E11" s="488"/>
      <c r="F11" s="488"/>
      <c r="G11" s="488"/>
      <c r="H11" s="488"/>
      <c r="I11" s="488"/>
      <c r="J11" s="488"/>
      <c r="K11" s="488"/>
      <c r="L11" s="489"/>
    </row>
    <row r="12" spans="1:13" x14ac:dyDescent="0.3">
      <c r="A12" s="486"/>
      <c r="B12" s="487"/>
      <c r="C12" s="490"/>
      <c r="D12" s="490"/>
      <c r="E12" s="490"/>
      <c r="F12" s="490"/>
      <c r="G12" s="490"/>
      <c r="H12" s="490"/>
      <c r="I12" s="490"/>
      <c r="J12" s="490"/>
      <c r="K12" s="490"/>
      <c r="L12" s="491"/>
    </row>
    <row r="13" spans="1:13" x14ac:dyDescent="0.3">
      <c r="A13" s="486"/>
      <c r="B13" s="487"/>
      <c r="C13" s="490"/>
      <c r="D13" s="490"/>
      <c r="E13" s="490"/>
      <c r="F13" s="490"/>
      <c r="G13" s="490"/>
      <c r="H13" s="490"/>
      <c r="I13" s="490"/>
      <c r="J13" s="490"/>
      <c r="K13" s="490"/>
      <c r="L13" s="491"/>
    </row>
    <row r="14" spans="1:13" x14ac:dyDescent="0.3">
      <c r="A14" s="486"/>
      <c r="B14" s="487"/>
      <c r="C14" s="490"/>
      <c r="D14" s="490"/>
      <c r="E14" s="490"/>
      <c r="F14" s="490"/>
      <c r="G14" s="490"/>
      <c r="H14" s="490"/>
      <c r="I14" s="490"/>
      <c r="J14" s="490"/>
      <c r="K14" s="490"/>
      <c r="L14" s="491"/>
    </row>
    <row r="15" spans="1:13" x14ac:dyDescent="0.3">
      <c r="A15" s="486"/>
      <c r="B15" s="487"/>
      <c r="C15" s="490"/>
      <c r="D15" s="490"/>
      <c r="E15" s="490"/>
      <c r="F15" s="490"/>
      <c r="G15" s="490"/>
      <c r="H15" s="490"/>
      <c r="I15" s="490"/>
      <c r="J15" s="490"/>
      <c r="K15" s="490"/>
      <c r="L15" s="491"/>
    </row>
    <row r="16" spans="1:13" x14ac:dyDescent="0.3">
      <c r="A16" s="486"/>
      <c r="B16" s="487"/>
      <c r="C16" s="490"/>
      <c r="D16" s="490"/>
      <c r="E16" s="490"/>
      <c r="F16" s="490"/>
      <c r="G16" s="490"/>
      <c r="H16" s="490"/>
      <c r="I16" s="490"/>
      <c r="J16" s="490"/>
      <c r="K16" s="490"/>
      <c r="L16" s="491"/>
    </row>
    <row r="17" spans="1:12" ht="74.25" customHeight="1" x14ac:dyDescent="0.3">
      <c r="A17" s="486"/>
      <c r="B17" s="487"/>
      <c r="C17" s="490"/>
      <c r="D17" s="490"/>
      <c r="E17" s="490"/>
      <c r="F17" s="490"/>
      <c r="G17" s="490"/>
      <c r="H17" s="490"/>
      <c r="I17" s="490"/>
      <c r="J17" s="490"/>
      <c r="K17" s="490"/>
      <c r="L17" s="491"/>
    </row>
    <row r="18" spans="1:12" ht="28.5" customHeight="1" x14ac:dyDescent="0.3">
      <c r="A18" s="469" t="s">
        <v>58</v>
      </c>
      <c r="B18" s="469"/>
      <c r="C18" s="470">
        <v>43201</v>
      </c>
      <c r="D18" s="471"/>
      <c r="E18" s="471"/>
      <c r="F18" s="471"/>
      <c r="G18" s="471"/>
      <c r="H18" s="471"/>
      <c r="I18" s="471"/>
      <c r="J18" s="471"/>
      <c r="K18" s="471"/>
      <c r="L18" s="471"/>
    </row>
    <row r="19" spans="1:12" ht="67.5" customHeight="1" x14ac:dyDescent="0.3">
      <c r="A19" s="474" t="s">
        <v>59</v>
      </c>
      <c r="B19" s="474"/>
      <c r="C19" s="398" t="s">
        <v>238</v>
      </c>
      <c r="D19" s="399"/>
      <c r="E19" s="399"/>
      <c r="F19" s="399"/>
      <c r="G19" s="399"/>
      <c r="H19" s="399"/>
      <c r="I19" s="399"/>
      <c r="J19" s="399"/>
      <c r="K19" s="399"/>
      <c r="L19" s="400"/>
    </row>
    <row r="20" spans="1:12" x14ac:dyDescent="0.3">
      <c r="A20" s="472"/>
      <c r="B20" s="472"/>
      <c r="C20" s="472"/>
      <c r="D20" s="472"/>
      <c r="E20" s="472"/>
      <c r="F20" s="472"/>
      <c r="G20" s="472"/>
      <c r="H20" s="472"/>
      <c r="I20" s="472"/>
      <c r="J20" s="472"/>
      <c r="K20" s="472"/>
      <c r="L20" s="472"/>
    </row>
    <row r="21" spans="1:12" x14ac:dyDescent="0.3">
      <c r="A21" s="475" t="s">
        <v>99</v>
      </c>
      <c r="B21" s="475"/>
      <c r="C21" s="478" t="s">
        <v>254</v>
      </c>
      <c r="D21" s="479"/>
      <c r="E21" s="479"/>
      <c r="F21" s="479"/>
      <c r="G21" s="479"/>
      <c r="H21" s="479"/>
      <c r="I21" s="479"/>
      <c r="J21" s="479"/>
      <c r="K21" s="479"/>
      <c r="L21" s="480"/>
    </row>
    <row r="22" spans="1:12" ht="29.25" customHeight="1" x14ac:dyDescent="0.3">
      <c r="A22" s="476"/>
      <c r="B22" s="476"/>
      <c r="C22" s="481"/>
      <c r="D22" s="482"/>
      <c r="E22" s="482"/>
      <c r="F22" s="482"/>
      <c r="G22" s="482"/>
      <c r="H22" s="482"/>
      <c r="I22" s="482"/>
      <c r="J22" s="482"/>
      <c r="K22" s="482"/>
      <c r="L22" s="483"/>
    </row>
    <row r="23" spans="1:12" x14ac:dyDescent="0.3">
      <c r="A23" s="476"/>
      <c r="B23" s="476"/>
      <c r="C23" s="481"/>
      <c r="D23" s="482"/>
      <c r="E23" s="482"/>
      <c r="F23" s="482"/>
      <c r="G23" s="482"/>
      <c r="H23" s="482"/>
      <c r="I23" s="482"/>
      <c r="J23" s="482"/>
      <c r="K23" s="482"/>
      <c r="L23" s="483"/>
    </row>
    <row r="24" spans="1:12" x14ac:dyDescent="0.3">
      <c r="A24" s="476"/>
      <c r="B24" s="476"/>
      <c r="C24" s="481"/>
      <c r="D24" s="482"/>
      <c r="E24" s="482"/>
      <c r="F24" s="482"/>
      <c r="G24" s="482"/>
      <c r="H24" s="482"/>
      <c r="I24" s="482"/>
      <c r="J24" s="482"/>
      <c r="K24" s="482"/>
      <c r="L24" s="483"/>
    </row>
    <row r="25" spans="1:12" ht="21.75" customHeight="1" x14ac:dyDescent="0.3">
      <c r="A25" s="476"/>
      <c r="B25" s="476"/>
      <c r="C25" s="481"/>
      <c r="D25" s="482"/>
      <c r="E25" s="482"/>
      <c r="F25" s="482"/>
      <c r="G25" s="482"/>
      <c r="H25" s="482"/>
      <c r="I25" s="482"/>
      <c r="J25" s="482"/>
      <c r="K25" s="482"/>
      <c r="L25" s="483"/>
    </row>
    <row r="26" spans="1:12" ht="22.5" customHeight="1" x14ac:dyDescent="0.3">
      <c r="A26" s="476"/>
      <c r="B26" s="476"/>
      <c r="C26" s="481"/>
      <c r="D26" s="482"/>
      <c r="E26" s="482"/>
      <c r="F26" s="482"/>
      <c r="G26" s="482"/>
      <c r="H26" s="482"/>
      <c r="I26" s="482"/>
      <c r="J26" s="482"/>
      <c r="K26" s="482"/>
      <c r="L26" s="483"/>
    </row>
    <row r="27" spans="1:12" ht="13.5" customHeight="1" x14ac:dyDescent="0.3">
      <c r="A27" s="477"/>
      <c r="B27" s="477"/>
      <c r="C27" s="481"/>
      <c r="D27" s="482"/>
      <c r="E27" s="482"/>
      <c r="F27" s="482"/>
      <c r="G27" s="482"/>
      <c r="H27" s="482"/>
      <c r="I27" s="482"/>
      <c r="J27" s="482"/>
      <c r="K27" s="482"/>
      <c r="L27" s="483"/>
    </row>
    <row r="28" spans="1:12" ht="27.75" customHeight="1" x14ac:dyDescent="0.3">
      <c r="A28" s="469" t="s">
        <v>58</v>
      </c>
      <c r="B28" s="469"/>
      <c r="C28" s="470">
        <v>43201</v>
      </c>
      <c r="D28" s="471"/>
      <c r="E28" s="471"/>
      <c r="F28" s="471"/>
      <c r="G28" s="471"/>
      <c r="H28" s="471"/>
      <c r="I28" s="471"/>
      <c r="J28" s="471"/>
      <c r="K28" s="471"/>
      <c r="L28" s="471"/>
    </row>
    <row r="29" spans="1:12" ht="192" customHeight="1" x14ac:dyDescent="0.3">
      <c r="A29" s="474" t="s">
        <v>60</v>
      </c>
      <c r="B29" s="474"/>
      <c r="C29" s="398" t="s">
        <v>253</v>
      </c>
      <c r="D29" s="399"/>
      <c r="E29" s="399"/>
      <c r="F29" s="399"/>
      <c r="G29" s="399"/>
      <c r="H29" s="399"/>
      <c r="I29" s="399"/>
      <c r="J29" s="399"/>
      <c r="K29" s="399"/>
      <c r="L29" s="400"/>
    </row>
    <row r="30" spans="1:12" x14ac:dyDescent="0.3">
      <c r="A30" s="473"/>
      <c r="B30" s="473"/>
      <c r="C30" s="473"/>
      <c r="D30" s="473"/>
      <c r="E30" s="473"/>
      <c r="F30" s="473"/>
      <c r="G30" s="473"/>
      <c r="H30" s="473"/>
      <c r="I30" s="473"/>
      <c r="J30" s="473"/>
      <c r="K30" s="473"/>
      <c r="L30" s="473"/>
    </row>
  </sheetData>
  <mergeCells count="19">
    <mergeCell ref="A6:L6"/>
    <mergeCell ref="A8:L8"/>
    <mergeCell ref="A9:L9"/>
    <mergeCell ref="A10:L10"/>
    <mergeCell ref="A11:B17"/>
    <mergeCell ref="C11:L17"/>
    <mergeCell ref="A28:B28"/>
    <mergeCell ref="C28:L28"/>
    <mergeCell ref="A20:L20"/>
    <mergeCell ref="A30:L30"/>
    <mergeCell ref="A7:L7"/>
    <mergeCell ref="A18:B18"/>
    <mergeCell ref="C18:L18"/>
    <mergeCell ref="A29:B29"/>
    <mergeCell ref="C29:L29"/>
    <mergeCell ref="A19:B19"/>
    <mergeCell ref="C19:L19"/>
    <mergeCell ref="A21:B27"/>
    <mergeCell ref="C21:L27"/>
  </mergeCells>
  <pageMargins left="0.51181102362204722" right="0.51181102362204722" top="0.78740157480314965" bottom="0.78740157480314965" header="0.31496062992125984" footer="0.31496062992125984"/>
  <pageSetup paperSize="9" scale="74"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G41"/>
  <sheetViews>
    <sheetView showGridLines="0" view="pageBreakPreview" topLeftCell="A7" zoomScale="115" zoomScaleNormal="130" zoomScaleSheetLayoutView="115" workbookViewId="0">
      <selection activeCell="C39" sqref="C39"/>
    </sheetView>
  </sheetViews>
  <sheetFormatPr defaultColWidth="9.109375" defaultRowHeight="14.4" x14ac:dyDescent="0.3"/>
  <cols>
    <col min="1" max="1" width="48.5546875" style="12" customWidth="1"/>
    <col min="2" max="2" width="12.33203125" style="12" customWidth="1"/>
    <col min="3" max="3" width="11.88671875" style="12" bestFit="1" customWidth="1"/>
    <col min="4" max="4" width="9.109375" style="12" bestFit="1" customWidth="1"/>
    <col min="5" max="5" width="7.6640625" style="12" bestFit="1" customWidth="1"/>
    <col min="6" max="6" width="15.44140625" style="12" bestFit="1" customWidth="1"/>
    <col min="7" max="7" width="20.33203125" style="12" bestFit="1" customWidth="1"/>
    <col min="8" max="16384" width="9.109375" style="12"/>
  </cols>
  <sheetData>
    <row r="1" spans="1:7" s="76" customFormat="1" ht="21" x14ac:dyDescent="0.4">
      <c r="G1" s="77"/>
    </row>
    <row r="2" spans="1:7" s="76" customFormat="1" ht="21" x14ac:dyDescent="0.4">
      <c r="G2" s="77"/>
    </row>
    <row r="3" spans="1:7" s="76" customFormat="1" ht="21" x14ac:dyDescent="0.4">
      <c r="G3" s="77"/>
    </row>
    <row r="4" spans="1:7" s="76" customFormat="1" ht="21" x14ac:dyDescent="0.4">
      <c r="G4" s="77"/>
    </row>
    <row r="5" spans="1:7" s="76" customFormat="1" ht="21" x14ac:dyDescent="0.4">
      <c r="G5" s="77"/>
    </row>
    <row r="6" spans="1:7" s="79" customFormat="1" ht="21" x14ac:dyDescent="0.4">
      <c r="A6" s="385" t="s">
        <v>227</v>
      </c>
      <c r="B6" s="385"/>
      <c r="C6" s="385"/>
      <c r="D6" s="385"/>
      <c r="E6" s="385"/>
      <c r="F6" s="385"/>
      <c r="G6" s="385"/>
    </row>
    <row r="7" spans="1:7" s="79" customFormat="1" ht="21" customHeight="1" x14ac:dyDescent="0.4">
      <c r="A7" s="386" t="s">
        <v>255</v>
      </c>
      <c r="B7" s="386"/>
      <c r="C7" s="386"/>
      <c r="D7" s="386"/>
      <c r="E7" s="386"/>
      <c r="F7" s="386"/>
      <c r="G7" s="378"/>
    </row>
    <row r="8" spans="1:7" s="79" customFormat="1" ht="21" x14ac:dyDescent="0.4">
      <c r="A8" s="386" t="s">
        <v>251</v>
      </c>
      <c r="B8" s="386"/>
      <c r="C8" s="386"/>
      <c r="D8" s="386"/>
      <c r="E8" s="386"/>
      <c r="F8" s="386"/>
      <c r="G8" s="386"/>
    </row>
    <row r="9" spans="1:7" s="79" customFormat="1" ht="21" x14ac:dyDescent="0.4">
      <c r="A9" s="386" t="s">
        <v>248</v>
      </c>
      <c r="B9" s="386"/>
      <c r="C9" s="386"/>
      <c r="D9" s="386"/>
      <c r="E9" s="386"/>
      <c r="F9" s="386"/>
      <c r="G9" s="386"/>
    </row>
    <row r="10" spans="1:7" s="79" customFormat="1" ht="21" customHeight="1" x14ac:dyDescent="0.4">
      <c r="A10" s="387" t="s">
        <v>120</v>
      </c>
      <c r="B10" s="387"/>
      <c r="C10" s="387"/>
      <c r="D10" s="387"/>
      <c r="E10" s="387"/>
      <c r="F10" s="387"/>
      <c r="G10" s="387"/>
    </row>
    <row r="11" spans="1:7" s="1" customFormat="1" ht="43.2" x14ac:dyDescent="0.3">
      <c r="A11" s="73" t="s">
        <v>12</v>
      </c>
      <c r="B11" s="73" t="s">
        <v>228</v>
      </c>
      <c r="C11" s="73" t="s">
        <v>229</v>
      </c>
      <c r="D11" s="73" t="s">
        <v>104</v>
      </c>
      <c r="E11" s="73" t="s">
        <v>103</v>
      </c>
      <c r="F11" s="73" t="s">
        <v>105</v>
      </c>
      <c r="G11" s="73" t="s">
        <v>204</v>
      </c>
    </row>
    <row r="12" spans="1:7" s="1" customFormat="1" x14ac:dyDescent="0.3">
      <c r="A12" s="382" t="s">
        <v>30</v>
      </c>
      <c r="B12" s="383"/>
      <c r="C12" s="383"/>
      <c r="D12" s="383"/>
      <c r="E12" s="383"/>
      <c r="F12" s="383"/>
      <c r="G12" s="384"/>
    </row>
    <row r="13" spans="1:7" s="1" customFormat="1" ht="24.9" customHeight="1" x14ac:dyDescent="0.3">
      <c r="A13" s="11" t="s">
        <v>20</v>
      </c>
      <c r="B13" s="13">
        <f>B14+B22+B23</f>
        <v>1201156</v>
      </c>
      <c r="C13" s="192">
        <f>C14+C22+C23</f>
        <v>394804.16000000003</v>
      </c>
      <c r="D13" s="14">
        <f>C13/B13*100-100</f>
        <v>-67.131316831452367</v>
      </c>
      <c r="E13" s="14">
        <f>E14+E22+E23</f>
        <v>99.999999999999986</v>
      </c>
      <c r="F13" s="13">
        <f>F14+F22+F23</f>
        <v>806351.84</v>
      </c>
      <c r="G13" s="234" t="s">
        <v>53</v>
      </c>
    </row>
    <row r="14" spans="1:7" s="8" customFormat="1" x14ac:dyDescent="0.3">
      <c r="A14" s="3" t="s">
        <v>13</v>
      </c>
      <c r="B14" s="9">
        <f>B15+B21</f>
        <v>1059547</v>
      </c>
      <c r="C14" s="193">
        <f>C15+C21</f>
        <v>370449.85000000003</v>
      </c>
      <c r="D14" s="10">
        <f>C14/B14*100</f>
        <v>34.963040808949486</v>
      </c>
      <c r="E14" s="10">
        <f>E15+E21</f>
        <v>93.831293469653403</v>
      </c>
      <c r="F14" s="9">
        <f>F15+F21</f>
        <v>689097.14999999991</v>
      </c>
      <c r="G14" s="235" t="s">
        <v>53</v>
      </c>
    </row>
    <row r="15" spans="1:7" s="8" customFormat="1" x14ac:dyDescent="0.3">
      <c r="A15" s="326" t="s">
        <v>14</v>
      </c>
      <c r="B15" s="327">
        <f>SUM(B16:B20)</f>
        <v>546759</v>
      </c>
      <c r="C15" s="328">
        <f>SUM(C16:C20)</f>
        <v>252892.42000000004</v>
      </c>
      <c r="D15" s="329">
        <f>C15/B15*100</f>
        <v>46.252996292699351</v>
      </c>
      <c r="E15" s="329">
        <f>SUM(E16:E20)</f>
        <v>64.055155852461127</v>
      </c>
      <c r="F15" s="327">
        <f>SUM(F16:F20)</f>
        <v>293866.57999999996</v>
      </c>
      <c r="G15" s="325" t="s">
        <v>53</v>
      </c>
    </row>
    <row r="16" spans="1:7" s="1" customFormat="1" x14ac:dyDescent="0.3">
      <c r="A16" s="321" t="s">
        <v>15</v>
      </c>
      <c r="B16" s="322">
        <v>470638</v>
      </c>
      <c r="C16" s="330">
        <v>192313.26</v>
      </c>
      <c r="D16" s="323">
        <f>C16/B16*100</f>
        <v>40.862246567425501</v>
      </c>
      <c r="E16" s="323">
        <f>C16/$C$28*100</f>
        <v>48.711052082125981</v>
      </c>
      <c r="F16" s="324">
        <f t="shared" ref="F16:F22" si="0">B16-C16</f>
        <v>278324.74</v>
      </c>
      <c r="G16" s="325" t="s">
        <v>53</v>
      </c>
    </row>
    <row r="17" spans="1:7" s="1" customFormat="1" x14ac:dyDescent="0.3">
      <c r="A17" s="321" t="s">
        <v>224</v>
      </c>
      <c r="B17" s="322">
        <v>0</v>
      </c>
      <c r="C17" s="330">
        <v>32155.83</v>
      </c>
      <c r="D17" s="323" t="e">
        <f t="shared" ref="D17:D19" si="1">C17/B17*100</f>
        <v>#DIV/0!</v>
      </c>
      <c r="E17" s="323">
        <f t="shared" ref="E17:E19" si="2">C17/$C$28*100</f>
        <v>8.144754604409437</v>
      </c>
      <c r="F17" s="324">
        <f t="shared" si="0"/>
        <v>-32155.83</v>
      </c>
      <c r="G17" s="325"/>
    </row>
    <row r="18" spans="1:7" s="1" customFormat="1" x14ac:dyDescent="0.3">
      <c r="A18" s="321" t="s">
        <v>16</v>
      </c>
      <c r="B18" s="322">
        <v>35369</v>
      </c>
      <c r="C18" s="197">
        <v>10796.57</v>
      </c>
      <c r="D18" s="323">
        <f t="shared" si="1"/>
        <v>30.525516695411238</v>
      </c>
      <c r="E18" s="323">
        <f t="shared" si="2"/>
        <v>2.7346647005948466</v>
      </c>
      <c r="F18" s="324">
        <f t="shared" si="0"/>
        <v>24572.43</v>
      </c>
      <c r="G18" s="325" t="s">
        <v>53</v>
      </c>
    </row>
    <row r="19" spans="1:7" s="1" customFormat="1" x14ac:dyDescent="0.3">
      <c r="A19" s="321" t="s">
        <v>223</v>
      </c>
      <c r="B19" s="322">
        <v>0</v>
      </c>
      <c r="C19" s="197">
        <v>1589.34</v>
      </c>
      <c r="D19" s="323" t="e">
        <f t="shared" si="1"/>
        <v>#DIV/0!</v>
      </c>
      <c r="E19" s="323">
        <f t="shared" si="2"/>
        <v>0.40256414724708062</v>
      </c>
      <c r="F19" s="324">
        <f t="shared" si="0"/>
        <v>-1589.34</v>
      </c>
      <c r="G19" s="325"/>
    </row>
    <row r="20" spans="1:7" s="1" customFormat="1" x14ac:dyDescent="0.3">
      <c r="A20" s="321" t="s">
        <v>17</v>
      </c>
      <c r="B20" s="322">
        <v>40752</v>
      </c>
      <c r="C20" s="205">
        <f>951.6+6506.96+7490.35+1088.51</f>
        <v>16037.42</v>
      </c>
      <c r="D20" s="323">
        <f>C20/B20*100</f>
        <v>39.353700431880647</v>
      </c>
      <c r="E20" s="323">
        <f>C20/$C$28*100</f>
        <v>4.0621203180837808</v>
      </c>
      <c r="F20" s="324">
        <f t="shared" si="0"/>
        <v>24714.58</v>
      </c>
      <c r="G20" s="325" t="s">
        <v>53</v>
      </c>
    </row>
    <row r="21" spans="1:7" s="8" customFormat="1" x14ac:dyDescent="0.3">
      <c r="A21" s="16" t="s">
        <v>18</v>
      </c>
      <c r="B21" s="17">
        <v>512788</v>
      </c>
      <c r="C21" s="195">
        <v>117557.43</v>
      </c>
      <c r="D21" s="18">
        <f t="shared" ref="D21:D40" si="3">C21/B21*100</f>
        <v>22.925152304656113</v>
      </c>
      <c r="E21" s="18">
        <f>C21/$C$28*100</f>
        <v>29.776137617192276</v>
      </c>
      <c r="F21" s="17">
        <f t="shared" si="0"/>
        <v>395230.57</v>
      </c>
      <c r="G21" s="236" t="s">
        <v>53</v>
      </c>
    </row>
    <row r="22" spans="1:7" s="8" customFormat="1" x14ac:dyDescent="0.3">
      <c r="A22" s="307" t="s">
        <v>37</v>
      </c>
      <c r="B22" s="308">
        <v>120609</v>
      </c>
      <c r="C22" s="309">
        <v>20101.330000000002</v>
      </c>
      <c r="D22" s="310">
        <f t="shared" si="3"/>
        <v>16.666525715328046</v>
      </c>
      <c r="E22" s="310">
        <f>C22/$C$28*100</f>
        <v>5.0914686410599117</v>
      </c>
      <c r="F22" s="308">
        <f t="shared" si="0"/>
        <v>100507.67</v>
      </c>
      <c r="G22" s="311" t="s">
        <v>53</v>
      </c>
    </row>
    <row r="23" spans="1:7" s="8" customFormat="1" x14ac:dyDescent="0.3">
      <c r="A23" s="50" t="s">
        <v>38</v>
      </c>
      <c r="B23" s="51">
        <f>B24+B25</f>
        <v>21000</v>
      </c>
      <c r="C23" s="206">
        <f>C24+C25</f>
        <v>4252.9799999999996</v>
      </c>
      <c r="D23" s="10">
        <f t="shared" si="3"/>
        <v>20.252285714285712</v>
      </c>
      <c r="E23" s="10">
        <f>E24+E25</f>
        <v>1.0772378892866779</v>
      </c>
      <c r="F23" s="9">
        <f>F24+F25</f>
        <v>16747.02</v>
      </c>
      <c r="G23" s="235" t="s">
        <v>53</v>
      </c>
    </row>
    <row r="24" spans="1:7" s="1" customFormat="1" x14ac:dyDescent="0.3">
      <c r="A24" s="312" t="s">
        <v>39</v>
      </c>
      <c r="B24" s="313">
        <v>21000</v>
      </c>
      <c r="C24" s="314">
        <v>4252.9799999999996</v>
      </c>
      <c r="D24" s="315">
        <f t="shared" si="3"/>
        <v>20.252285714285712</v>
      </c>
      <c r="E24" s="315">
        <f>C24/$C$28*100</f>
        <v>1.0772378892866779</v>
      </c>
      <c r="F24" s="313">
        <f>B24-C24</f>
        <v>16747.02</v>
      </c>
      <c r="G24" s="234"/>
    </row>
    <row r="25" spans="1:7" s="1" customFormat="1" x14ac:dyDescent="0.3">
      <c r="A25" s="48" t="s">
        <v>40</v>
      </c>
      <c r="B25" s="49"/>
      <c r="C25" s="210"/>
      <c r="D25" s="15" t="e">
        <f t="shared" si="3"/>
        <v>#DIV/0!</v>
      </c>
      <c r="E25" s="15">
        <f>C25/$C$28*100</f>
        <v>0</v>
      </c>
      <c r="F25" s="5">
        <f>B25-C25</f>
        <v>0</v>
      </c>
      <c r="G25" s="235" t="s">
        <v>53</v>
      </c>
    </row>
    <row r="26" spans="1:7" s="1" customFormat="1" x14ac:dyDescent="0.3">
      <c r="A26" s="11" t="s">
        <v>21</v>
      </c>
      <c r="B26" s="13">
        <f>B27</f>
        <v>150000</v>
      </c>
      <c r="C26" s="192">
        <f>C27</f>
        <v>0</v>
      </c>
      <c r="D26" s="14">
        <f t="shared" si="3"/>
        <v>0</v>
      </c>
      <c r="E26" s="14">
        <f>E27</f>
        <v>0</v>
      </c>
      <c r="F26" s="13">
        <f>F27</f>
        <v>150000</v>
      </c>
      <c r="G26" s="234" t="s">
        <v>53</v>
      </c>
    </row>
    <row r="27" spans="1:7" s="1" customFormat="1" x14ac:dyDescent="0.3">
      <c r="A27" s="48" t="s">
        <v>19</v>
      </c>
      <c r="B27" s="49">
        <v>150000</v>
      </c>
      <c r="C27" s="194">
        <v>0</v>
      </c>
      <c r="D27" s="15">
        <f t="shared" si="3"/>
        <v>0</v>
      </c>
      <c r="E27" s="15">
        <f>C27/$C$28*100</f>
        <v>0</v>
      </c>
      <c r="F27" s="5">
        <f>B27-C27</f>
        <v>150000</v>
      </c>
      <c r="G27" s="235"/>
    </row>
    <row r="28" spans="1:7" s="1" customFormat="1" x14ac:dyDescent="0.3">
      <c r="A28" s="16" t="s">
        <v>22</v>
      </c>
      <c r="B28" s="17">
        <f>B13+B26</f>
        <v>1351156</v>
      </c>
      <c r="C28" s="195">
        <f>C13+C26</f>
        <v>394804.16000000003</v>
      </c>
      <c r="D28" s="18">
        <f t="shared" si="3"/>
        <v>29.219731844435433</v>
      </c>
      <c r="E28" s="18">
        <f>E13+E26</f>
        <v>99.999999999999986</v>
      </c>
      <c r="F28" s="17">
        <f>F13+F26</f>
        <v>956351.84</v>
      </c>
      <c r="G28" s="236" t="s">
        <v>53</v>
      </c>
    </row>
    <row r="29" spans="1:7" s="1" customFormat="1" x14ac:dyDescent="0.3">
      <c r="A29" s="382" t="s">
        <v>31</v>
      </c>
      <c r="B29" s="383"/>
      <c r="C29" s="383"/>
      <c r="D29" s="383"/>
      <c r="E29" s="383"/>
      <c r="F29" s="383"/>
      <c r="G29" s="384"/>
    </row>
    <row r="30" spans="1:7" s="1" customFormat="1" ht="24.9" customHeight="1" x14ac:dyDescent="0.3">
      <c r="A30" s="214" t="s">
        <v>23</v>
      </c>
      <c r="B30" s="215">
        <f>B31+B34</f>
        <v>1201488</v>
      </c>
      <c r="C30" s="215">
        <f>C31+C34</f>
        <v>226583.71</v>
      </c>
      <c r="D30" s="216">
        <f t="shared" si="3"/>
        <v>18.858591180269798</v>
      </c>
      <c r="E30" s="216">
        <f>E31+E34</f>
        <v>88.811766390388385</v>
      </c>
      <c r="F30" s="215">
        <f>F31+F34</f>
        <v>974904.29</v>
      </c>
      <c r="G30" s="232" t="s">
        <v>53</v>
      </c>
    </row>
    <row r="31" spans="1:7" s="8" customFormat="1" x14ac:dyDescent="0.3">
      <c r="A31" s="220" t="s">
        <v>26</v>
      </c>
      <c r="B31" s="221">
        <f>SUM(B32:B33)</f>
        <v>1051488</v>
      </c>
      <c r="C31" s="221">
        <f>SUM(C32:C33)</f>
        <v>224383.71</v>
      </c>
      <c r="D31" s="222">
        <f t="shared" si="3"/>
        <v>21.339635830366106</v>
      </c>
      <c r="E31" s="222">
        <f>SUM(E32:E33)</f>
        <v>87.949454240680652</v>
      </c>
      <c r="F31" s="221">
        <f>SUM(F32:F33)</f>
        <v>827104.29</v>
      </c>
      <c r="G31" s="231" t="s">
        <v>53</v>
      </c>
    </row>
    <row r="32" spans="1:7" s="1" customFormat="1" x14ac:dyDescent="0.3">
      <c r="A32" s="225" t="s">
        <v>24</v>
      </c>
      <c r="B32" s="226">
        <f>'Exec Orçamentária'!D12+'Exec Orçamentária'!D13+'Exec Orçamentária'!D25</f>
        <v>43036</v>
      </c>
      <c r="C32" s="226">
        <f>'Exec Orçamentária'!F12+'Exec Orçamentária'!F13+'Exec Orçamentária'!F25</f>
        <v>0</v>
      </c>
      <c r="D32" s="227">
        <f t="shared" si="3"/>
        <v>0</v>
      </c>
      <c r="E32" s="227">
        <f>C32/$C$40*100</f>
        <v>0</v>
      </c>
      <c r="F32" s="228">
        <f>B32-C32</f>
        <v>43036</v>
      </c>
      <c r="G32" s="231" t="s">
        <v>53</v>
      </c>
    </row>
    <row r="33" spans="1:7" s="1" customFormat="1" x14ac:dyDescent="0.3">
      <c r="A33" s="225" t="s">
        <v>25</v>
      </c>
      <c r="B33" s="226">
        <f>'Exec Orçamentária'!D15+'Exec Orçamentária'!D16+'Exec Orçamentária'!D17+'Exec Orçamentária'!D18+'Exec Orçamentária'!D19+'Exec Orçamentária'!D20</f>
        <v>1008452</v>
      </c>
      <c r="C33" s="226">
        <f>'Exec Orçamentária'!F15+'Exec Orçamentária'!F16+'Exec Orçamentária'!F17+'Exec Orçamentária'!F18+'Exec Orçamentária'!F19+'Exec Orçamentária'!F20</f>
        <v>224383.71</v>
      </c>
      <c r="D33" s="227">
        <f t="shared" si="3"/>
        <v>22.250311368315</v>
      </c>
      <c r="E33" s="227">
        <f>C33/$C$40*100</f>
        <v>87.949454240680652</v>
      </c>
      <c r="F33" s="228">
        <f>B33-C33</f>
        <v>784068.29</v>
      </c>
      <c r="G33" s="231" t="s">
        <v>53</v>
      </c>
    </row>
    <row r="34" spans="1:7" s="8" customFormat="1" x14ac:dyDescent="0.3">
      <c r="A34" s="229" t="s">
        <v>27</v>
      </c>
      <c r="B34" s="230">
        <f>SUM(B35:B36)</f>
        <v>150000</v>
      </c>
      <c r="C34" s="230">
        <f>SUM(C35:C36)</f>
        <v>2200</v>
      </c>
      <c r="D34" s="222">
        <f t="shared" si="3"/>
        <v>1.4666666666666666</v>
      </c>
      <c r="E34" s="222">
        <f>SUM(E35:E36)</f>
        <v>0.86231214970773695</v>
      </c>
      <c r="F34" s="221">
        <f>SUM(F35:F36)</f>
        <v>147800</v>
      </c>
      <c r="G34" s="231" t="s">
        <v>53</v>
      </c>
    </row>
    <row r="35" spans="1:7" s="1" customFormat="1" x14ac:dyDescent="0.3">
      <c r="A35" s="225" t="s">
        <v>24</v>
      </c>
      <c r="B35" s="226">
        <f>'Exec Orçamentária'!D27</f>
        <v>150000</v>
      </c>
      <c r="C35" s="226">
        <f>'Exec Orçamentária'!F27</f>
        <v>2200</v>
      </c>
      <c r="D35" s="227">
        <f t="shared" si="3"/>
        <v>1.4666666666666666</v>
      </c>
      <c r="E35" s="227">
        <f>C35/$C$40*100</f>
        <v>0.86231214970773695</v>
      </c>
      <c r="F35" s="228">
        <f>B35-C35</f>
        <v>147800</v>
      </c>
      <c r="G35" s="231"/>
    </row>
    <row r="36" spans="1:7" s="1" customFormat="1" x14ac:dyDescent="0.3">
      <c r="A36" s="225" t="s">
        <v>25</v>
      </c>
      <c r="B36" s="226">
        <v>0</v>
      </c>
      <c r="C36" s="226">
        <v>0</v>
      </c>
      <c r="D36" s="227">
        <v>0</v>
      </c>
      <c r="E36" s="227">
        <f>C36/$C$40*100</f>
        <v>0</v>
      </c>
      <c r="F36" s="228">
        <f>B36-C36</f>
        <v>0</v>
      </c>
      <c r="G36" s="231" t="s">
        <v>68</v>
      </c>
    </row>
    <row r="37" spans="1:7" s="1" customFormat="1" x14ac:dyDescent="0.3">
      <c r="A37" s="214" t="s">
        <v>28</v>
      </c>
      <c r="B37" s="215">
        <f>'Exec Orçamentária'!D23</f>
        <v>34464</v>
      </c>
      <c r="C37" s="215">
        <f>'Exec Orçamentária'!F23</f>
        <v>8616</v>
      </c>
      <c r="D37" s="216">
        <v>0</v>
      </c>
      <c r="E37" s="216">
        <f>C37/$C$40*100</f>
        <v>3.3771279463099373</v>
      </c>
      <c r="F37" s="215">
        <f>B37-C37</f>
        <v>25848</v>
      </c>
      <c r="G37" s="232" t="s">
        <v>68</v>
      </c>
    </row>
    <row r="38" spans="1:7" s="1" customFormat="1" x14ac:dyDescent="0.3">
      <c r="A38" s="214" t="s">
        <v>67</v>
      </c>
      <c r="B38" s="215">
        <f>'Exec Orçamentária'!D21+'Exec Orçamentária'!D22</f>
        <v>82204</v>
      </c>
      <c r="C38" s="215">
        <f>'Exec Orçamentária'!F21+'Exec Orçamentária'!F22</f>
        <v>19928.32</v>
      </c>
      <c r="D38" s="216">
        <v>1</v>
      </c>
      <c r="E38" s="216">
        <f>C38/$C$40*100</f>
        <v>7.8111056633016762</v>
      </c>
      <c r="F38" s="215">
        <f>B38-C38</f>
        <v>62275.68</v>
      </c>
      <c r="G38" s="232" t="s">
        <v>68</v>
      </c>
    </row>
    <row r="39" spans="1:7" s="1" customFormat="1" x14ac:dyDescent="0.3">
      <c r="A39" s="214" t="s">
        <v>69</v>
      </c>
      <c r="B39" s="215">
        <f>'Exec Orçamentária'!D24</f>
        <v>11000</v>
      </c>
      <c r="C39" s="215">
        <f>'Exec Orçamentária'!F24</f>
        <v>0</v>
      </c>
      <c r="D39" s="216">
        <v>1</v>
      </c>
      <c r="E39" s="216">
        <f>C39/$C$40*100</f>
        <v>0</v>
      </c>
      <c r="F39" s="215">
        <f>B39-C39</f>
        <v>11000</v>
      </c>
      <c r="G39" s="232" t="s">
        <v>68</v>
      </c>
    </row>
    <row r="40" spans="1:7" s="1" customFormat="1" x14ac:dyDescent="0.3">
      <c r="A40" s="217" t="s">
        <v>29</v>
      </c>
      <c r="B40" s="218">
        <f>B30+B37+B38+B39</f>
        <v>1329156</v>
      </c>
      <c r="C40" s="218">
        <f>C30+C37+C38+C39</f>
        <v>255128.03</v>
      </c>
      <c r="D40" s="219">
        <f t="shared" si="3"/>
        <v>19.194739368441326</v>
      </c>
      <c r="E40" s="219">
        <f>E30+E37</f>
        <v>92.188894336698326</v>
      </c>
      <c r="F40" s="218">
        <f>F30+F37</f>
        <v>1000752.29</v>
      </c>
      <c r="G40" s="233" t="s">
        <v>53</v>
      </c>
    </row>
    <row r="41" spans="1:7" s="8" customFormat="1" x14ac:dyDescent="0.3">
      <c r="A41" s="220" t="s">
        <v>32</v>
      </c>
      <c r="B41" s="221">
        <f>B28-B40</f>
        <v>22000</v>
      </c>
      <c r="C41" s="221">
        <f>C28-C40</f>
        <v>139676.13000000003</v>
      </c>
      <c r="D41" s="222"/>
      <c r="E41" s="222"/>
      <c r="F41" s="221">
        <f>F28-F40</f>
        <v>-44400.45000000007</v>
      </c>
      <c r="G41" s="231"/>
    </row>
  </sheetData>
  <mergeCells count="7">
    <mergeCell ref="A29:G29"/>
    <mergeCell ref="A12:G12"/>
    <mergeCell ref="A6:G6"/>
    <mergeCell ref="A8:G8"/>
    <mergeCell ref="A9:G9"/>
    <mergeCell ref="A10:G10"/>
    <mergeCell ref="A7:F7"/>
  </mergeCells>
  <pageMargins left="0.51181102362204722" right="0.51181102362204722" top="0.39370078740157483" bottom="0.39370078740157483" header="0.31496062992125984" footer="0.31496062992125984"/>
  <pageSetup paperSize="9" scale="74"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I43"/>
  <sheetViews>
    <sheetView view="pageBreakPreview" zoomScale="90" zoomScaleSheetLayoutView="90" workbookViewId="0">
      <pane ySplit="17" topLeftCell="A18" activePane="bottomLeft" state="frozen"/>
      <selection activeCell="M5" sqref="M5"/>
      <selection pane="bottomLeft" activeCell="M5" sqref="M5"/>
    </sheetView>
  </sheetViews>
  <sheetFormatPr defaultColWidth="9.109375" defaultRowHeight="13.2" x14ac:dyDescent="0.3"/>
  <cols>
    <col min="1" max="1" width="37.109375" style="38" customWidth="1"/>
    <col min="2" max="3" width="4.44140625" style="38" customWidth="1"/>
    <col min="4" max="4" width="21.6640625" style="38" customWidth="1"/>
    <col min="5" max="5" width="37.109375" style="38" customWidth="1"/>
    <col min="6" max="6" width="29.33203125" style="38" customWidth="1"/>
    <col min="7" max="7" width="50.88671875" style="38" customWidth="1"/>
    <col min="8" max="9" width="37.6640625" style="38" customWidth="1"/>
    <col min="10" max="16384" width="9.109375" style="38"/>
  </cols>
  <sheetData>
    <row r="7" spans="1:9" x14ac:dyDescent="0.3">
      <c r="A7" s="390" t="s">
        <v>64</v>
      </c>
      <c r="B7" s="390"/>
      <c r="C7" s="390"/>
      <c r="D7" s="390"/>
      <c r="E7" s="390"/>
      <c r="F7" s="390"/>
      <c r="G7" s="390"/>
      <c r="H7" s="390"/>
      <c r="I7" s="390"/>
    </row>
    <row r="8" spans="1:9" x14ac:dyDescent="0.3">
      <c r="A8" s="39" t="s">
        <v>65</v>
      </c>
    </row>
    <row r="10" spans="1:9" x14ac:dyDescent="0.3">
      <c r="A10" s="389" t="s">
        <v>89</v>
      </c>
      <c r="B10" s="389"/>
      <c r="C10" s="389"/>
      <c r="D10" s="389"/>
    </row>
    <row r="12" spans="1:9" x14ac:dyDescent="0.3">
      <c r="A12" s="38" t="s">
        <v>45</v>
      </c>
      <c r="B12" s="389"/>
      <c r="C12" s="389"/>
      <c r="D12" s="389"/>
    </row>
    <row r="13" spans="1:9" x14ac:dyDescent="0.3">
      <c r="A13" s="38" t="s">
        <v>46</v>
      </c>
      <c r="B13" s="391"/>
      <c r="C13" s="391"/>
      <c r="D13" s="391"/>
    </row>
    <row r="15" spans="1:9" x14ac:dyDescent="0.3">
      <c r="A15" s="397" t="s">
        <v>61</v>
      </c>
      <c r="B15" s="397"/>
      <c r="C15" s="397"/>
      <c r="D15" s="397"/>
      <c r="E15" s="397"/>
      <c r="F15" s="397"/>
      <c r="G15" s="397"/>
      <c r="H15" s="397"/>
      <c r="I15" s="397"/>
    </row>
    <row r="16" spans="1:9" ht="18" customHeight="1" x14ac:dyDescent="0.3">
      <c r="A16" s="392" t="s">
        <v>56</v>
      </c>
      <c r="B16" s="394" t="s">
        <v>1</v>
      </c>
      <c r="C16" s="395"/>
      <c r="D16" s="396"/>
      <c r="E16" s="394" t="s">
        <v>5</v>
      </c>
      <c r="F16" s="396"/>
      <c r="G16" s="394" t="s">
        <v>6</v>
      </c>
      <c r="H16" s="396"/>
      <c r="I16" s="392" t="s">
        <v>41</v>
      </c>
    </row>
    <row r="17" spans="1:9" ht="59.25" customHeight="1" x14ac:dyDescent="0.3">
      <c r="A17" s="393"/>
      <c r="B17" s="62" t="s">
        <v>2</v>
      </c>
      <c r="C17" s="62" t="s">
        <v>42</v>
      </c>
      <c r="D17" s="62" t="s">
        <v>3</v>
      </c>
      <c r="E17" s="62" t="s">
        <v>4</v>
      </c>
      <c r="F17" s="62" t="s">
        <v>7</v>
      </c>
      <c r="G17" s="62" t="s">
        <v>8</v>
      </c>
      <c r="H17" s="62" t="s">
        <v>9</v>
      </c>
      <c r="I17" s="393"/>
    </row>
    <row r="18" spans="1:9" ht="15.6" x14ac:dyDescent="0.3">
      <c r="A18" s="64" t="s">
        <v>70</v>
      </c>
      <c r="B18" s="65" t="s">
        <v>43</v>
      </c>
      <c r="C18" s="40"/>
      <c r="D18" s="63" t="s">
        <v>73</v>
      </c>
      <c r="E18" s="58"/>
      <c r="F18" s="42"/>
      <c r="G18" s="61"/>
      <c r="H18" s="43"/>
      <c r="I18" s="42"/>
    </row>
    <row r="19" spans="1:9" ht="15.6" x14ac:dyDescent="0.3">
      <c r="A19" s="64" t="s">
        <v>70</v>
      </c>
      <c r="B19" s="65" t="s">
        <v>43</v>
      </c>
      <c r="C19" s="40"/>
      <c r="D19" s="63" t="s">
        <v>74</v>
      </c>
      <c r="E19" s="41"/>
      <c r="F19" s="42"/>
      <c r="G19" s="43"/>
      <c r="H19" s="43"/>
      <c r="I19" s="59"/>
    </row>
    <row r="20" spans="1:9" ht="31.2" x14ac:dyDescent="0.25">
      <c r="A20" s="64" t="s">
        <v>70</v>
      </c>
      <c r="B20" s="65" t="s">
        <v>43</v>
      </c>
      <c r="C20" s="40"/>
      <c r="D20" s="63" t="s">
        <v>91</v>
      </c>
      <c r="E20" s="59"/>
      <c r="F20" s="42"/>
      <c r="G20" s="42"/>
      <c r="H20" s="42"/>
      <c r="I20" s="60"/>
    </row>
    <row r="21" spans="1:9" ht="31.2" x14ac:dyDescent="0.25">
      <c r="A21" s="64" t="s">
        <v>71</v>
      </c>
      <c r="B21" s="65" t="s">
        <v>43</v>
      </c>
      <c r="C21" s="40"/>
      <c r="D21" s="63" t="s">
        <v>92</v>
      </c>
      <c r="E21" s="59"/>
      <c r="F21" s="42"/>
      <c r="G21" s="42"/>
      <c r="H21" s="43"/>
      <c r="I21" s="60"/>
    </row>
    <row r="22" spans="1:9" ht="15.6" x14ac:dyDescent="0.25">
      <c r="A22" s="64" t="s">
        <v>71</v>
      </c>
      <c r="B22" s="65" t="s">
        <v>43</v>
      </c>
      <c r="C22" s="40"/>
      <c r="D22" s="63" t="s">
        <v>93</v>
      </c>
      <c r="E22" s="59"/>
      <c r="F22" s="42"/>
      <c r="G22" s="42"/>
      <c r="H22" s="42"/>
      <c r="I22" s="60"/>
    </row>
    <row r="23" spans="1:9" ht="31.2" x14ac:dyDescent="0.25">
      <c r="A23" s="64" t="s">
        <v>71</v>
      </c>
      <c r="B23" s="65" t="s">
        <v>43</v>
      </c>
      <c r="C23" s="40"/>
      <c r="D23" s="63" t="s">
        <v>94</v>
      </c>
      <c r="E23" s="59"/>
      <c r="F23" s="44"/>
      <c r="G23" s="42"/>
      <c r="H23" s="41"/>
      <c r="I23" s="60"/>
    </row>
    <row r="24" spans="1:9" ht="15.6" x14ac:dyDescent="0.25">
      <c r="A24" s="64" t="s">
        <v>72</v>
      </c>
      <c r="B24" s="65" t="s">
        <v>44</v>
      </c>
      <c r="C24" s="40"/>
      <c r="D24" s="63" t="s">
        <v>76</v>
      </c>
      <c r="E24" s="59"/>
      <c r="F24" s="42"/>
      <c r="G24" s="42"/>
      <c r="H24" s="42"/>
      <c r="I24" s="60"/>
    </row>
    <row r="25" spans="1:9" ht="31.2" x14ac:dyDescent="0.25">
      <c r="A25" s="64" t="s">
        <v>72</v>
      </c>
      <c r="B25" s="65" t="s">
        <v>43</v>
      </c>
      <c r="C25" s="40"/>
      <c r="D25" s="63" t="s">
        <v>77</v>
      </c>
      <c r="E25" s="59"/>
      <c r="F25" s="42"/>
      <c r="G25" s="42"/>
      <c r="H25" s="42"/>
      <c r="I25" s="60"/>
    </row>
    <row r="26" spans="1:9" ht="15.6" x14ac:dyDescent="0.25">
      <c r="A26" s="64" t="s">
        <v>72</v>
      </c>
      <c r="B26" s="65" t="s">
        <v>43</v>
      </c>
      <c r="C26" s="40"/>
      <c r="D26" s="63" t="s">
        <v>78</v>
      </c>
      <c r="E26" s="59"/>
      <c r="F26" s="42"/>
      <c r="G26" s="42"/>
      <c r="H26" s="42"/>
      <c r="I26" s="60"/>
    </row>
    <row r="27" spans="1:9" ht="15.6" x14ac:dyDescent="0.25">
      <c r="A27" s="64" t="s">
        <v>72</v>
      </c>
      <c r="B27" s="65" t="s">
        <v>44</v>
      </c>
      <c r="C27" s="40"/>
      <c r="D27" s="63" t="s">
        <v>95</v>
      </c>
      <c r="E27" s="59"/>
      <c r="F27" s="42"/>
      <c r="G27" s="42"/>
      <c r="H27" s="42"/>
      <c r="I27" s="60"/>
    </row>
    <row r="28" spans="1:9" ht="62.4" x14ac:dyDescent="0.25">
      <c r="A28" s="64" t="s">
        <v>72</v>
      </c>
      <c r="B28" s="65" t="s">
        <v>44</v>
      </c>
      <c r="C28" s="40"/>
      <c r="D28" s="63" t="s">
        <v>96</v>
      </c>
      <c r="E28" s="59"/>
      <c r="F28" s="42"/>
      <c r="G28" s="42"/>
      <c r="H28" s="42"/>
      <c r="I28" s="60"/>
    </row>
    <row r="29" spans="1:9" ht="31.2" x14ac:dyDescent="0.25">
      <c r="A29" s="64" t="s">
        <v>72</v>
      </c>
      <c r="B29" s="65" t="s">
        <v>44</v>
      </c>
      <c r="C29" s="40"/>
      <c r="D29" s="63" t="s">
        <v>79</v>
      </c>
      <c r="E29" s="59"/>
      <c r="F29" s="42"/>
      <c r="G29" s="42"/>
      <c r="H29" s="42"/>
      <c r="I29" s="60"/>
    </row>
    <row r="30" spans="1:9" ht="62.4" x14ac:dyDescent="0.25">
      <c r="A30" s="64" t="s">
        <v>72</v>
      </c>
      <c r="B30" s="65" t="s">
        <v>44</v>
      </c>
      <c r="C30" s="40"/>
      <c r="D30" s="63" t="s">
        <v>75</v>
      </c>
      <c r="E30" s="59"/>
      <c r="F30" s="42"/>
      <c r="G30" s="42"/>
      <c r="H30" s="42"/>
      <c r="I30" s="60"/>
    </row>
    <row r="31" spans="1:9" ht="46.8" x14ac:dyDescent="0.25">
      <c r="A31" s="64" t="s">
        <v>72</v>
      </c>
      <c r="B31" s="65" t="s">
        <v>44</v>
      </c>
      <c r="C31" s="40"/>
      <c r="D31" s="63" t="s">
        <v>81</v>
      </c>
      <c r="E31" s="59"/>
      <c r="F31" s="42"/>
      <c r="G31" s="42"/>
      <c r="H31" s="42"/>
      <c r="I31" s="60"/>
    </row>
    <row r="32" spans="1:9" ht="62.4" x14ac:dyDescent="0.25">
      <c r="A32" s="64" t="s">
        <v>72</v>
      </c>
      <c r="B32" s="65" t="s">
        <v>44</v>
      </c>
      <c r="C32" s="40"/>
      <c r="D32" s="63" t="s">
        <v>82</v>
      </c>
      <c r="E32" s="59"/>
      <c r="F32" s="42"/>
      <c r="G32" s="42"/>
      <c r="H32" s="42"/>
      <c r="I32" s="60"/>
    </row>
    <row r="33" spans="1:9" ht="31.2" x14ac:dyDescent="0.25">
      <c r="A33" s="64" t="s">
        <v>72</v>
      </c>
      <c r="B33" s="65" t="s">
        <v>44</v>
      </c>
      <c r="C33" s="40"/>
      <c r="D33" s="63" t="s">
        <v>83</v>
      </c>
      <c r="E33" s="59"/>
      <c r="F33" s="42"/>
      <c r="G33" s="42"/>
      <c r="H33" s="42"/>
      <c r="I33" s="60"/>
    </row>
    <row r="34" spans="1:9" ht="46.8" x14ac:dyDescent="0.25">
      <c r="A34" s="64" t="s">
        <v>98</v>
      </c>
      <c r="B34" s="65" t="s">
        <v>43</v>
      </c>
      <c r="C34" s="40"/>
      <c r="D34" s="63" t="s">
        <v>97</v>
      </c>
      <c r="E34" s="41"/>
      <c r="F34" s="45"/>
      <c r="G34" s="46"/>
      <c r="H34" s="46"/>
      <c r="I34" s="60"/>
    </row>
    <row r="35" spans="1:9" ht="31.2" x14ac:dyDescent="0.25">
      <c r="A35" s="64" t="s">
        <v>72</v>
      </c>
      <c r="B35" s="65" t="s">
        <v>43</v>
      </c>
      <c r="C35" s="40"/>
      <c r="D35" s="63" t="s">
        <v>80</v>
      </c>
      <c r="E35" s="41"/>
      <c r="F35" s="42"/>
      <c r="G35" s="42"/>
      <c r="H35" s="42"/>
      <c r="I35" s="60"/>
    </row>
    <row r="36" spans="1:9" ht="23.25" customHeight="1" x14ac:dyDescent="0.3">
      <c r="A36" s="388" t="s">
        <v>66</v>
      </c>
      <c r="B36" s="388"/>
      <c r="C36" s="388"/>
      <c r="D36" s="388"/>
      <c r="E36" s="388"/>
      <c r="F36" s="388"/>
      <c r="G36" s="388"/>
      <c r="H36" s="388"/>
      <c r="I36" s="388"/>
    </row>
    <row r="38" spans="1:9" ht="23.25" customHeight="1" x14ac:dyDescent="0.3"/>
    <row r="39" spans="1:9" ht="94.5" customHeight="1" x14ac:dyDescent="0.3"/>
    <row r="40" spans="1:9" ht="15" customHeight="1" x14ac:dyDescent="0.3"/>
    <row r="41" spans="1:9" ht="23.25" customHeight="1" x14ac:dyDescent="0.3"/>
    <row r="42" spans="1:9" ht="20.100000000000001" customHeight="1" x14ac:dyDescent="0.3"/>
    <row r="43" spans="1:9" ht="20.100000000000001" customHeight="1" x14ac:dyDescent="0.3"/>
  </sheetData>
  <mergeCells count="11">
    <mergeCell ref="A36:I36"/>
    <mergeCell ref="A10:D10"/>
    <mergeCell ref="A7:I7"/>
    <mergeCell ref="B13:D13"/>
    <mergeCell ref="B12:D12"/>
    <mergeCell ref="I16:I17"/>
    <mergeCell ref="A16:A17"/>
    <mergeCell ref="B16:D16"/>
    <mergeCell ref="E16:F16"/>
    <mergeCell ref="G16:H16"/>
    <mergeCell ref="A15:I15"/>
  </mergeCells>
  <pageMargins left="0.51181102362204722" right="0.51181102362204722" top="0.78740157480314965" bottom="0.78740157480314965" header="0.31496062992125984" footer="0.31496062992125984"/>
  <pageSetup paperSize="9" scale="52" orientation="landscape" r:id="rId1"/>
  <rowBreaks count="1" manualBreakCount="1">
    <brk id="21"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M35"/>
  <sheetViews>
    <sheetView view="pageBreakPreview" zoomScale="80" zoomScaleSheetLayoutView="80" workbookViewId="0">
      <pane ySplit="13" topLeftCell="A14" activePane="bottomLeft" state="frozen"/>
      <selection activeCell="M5" sqref="M5"/>
      <selection pane="bottomLeft" activeCell="M5" sqref="M5"/>
    </sheetView>
  </sheetViews>
  <sheetFormatPr defaultColWidth="9.109375" defaultRowHeight="14.4" x14ac:dyDescent="0.3"/>
  <cols>
    <col min="1" max="1" width="3.44140625" style="1" bestFit="1" customWidth="1"/>
    <col min="2" max="2" width="26.109375" style="30" customWidth="1"/>
    <col min="3" max="4" width="4.44140625" style="1" customWidth="1"/>
    <col min="5" max="5" width="33.6640625" style="1" customWidth="1"/>
    <col min="6" max="6" width="12.109375" style="30" bestFit="1" customWidth="1"/>
    <col min="7" max="8" width="15.109375" style="1" customWidth="1"/>
    <col min="9" max="9" width="12.109375" style="1" customWidth="1"/>
    <col min="10" max="10" width="15.88671875" style="1" customWidth="1"/>
    <col min="11" max="11" width="13" style="1" customWidth="1"/>
    <col min="12" max="12" width="14.6640625" style="1" customWidth="1"/>
    <col min="13" max="13" width="38.33203125" style="1" customWidth="1"/>
    <col min="14" max="16384" width="9.109375" style="1"/>
  </cols>
  <sheetData>
    <row r="6" spans="1:13" x14ac:dyDescent="0.3">
      <c r="B6" s="402" t="s">
        <v>90</v>
      </c>
      <c r="C6" s="402"/>
      <c r="D6" s="402"/>
      <c r="E6" s="402"/>
      <c r="F6" s="402"/>
      <c r="G6" s="402"/>
      <c r="H6" s="402"/>
      <c r="I6" s="402"/>
      <c r="J6" s="402"/>
      <c r="K6" s="402"/>
      <c r="L6" s="402"/>
      <c r="M6" s="402"/>
    </row>
    <row r="7" spans="1:13" x14ac:dyDescent="0.3">
      <c r="B7" s="1" t="s">
        <v>100</v>
      </c>
    </row>
    <row r="8" spans="1:13" x14ac:dyDescent="0.3">
      <c r="B8" s="30" t="str">
        <f>'2. Exec Plano de Ação'!A12</f>
        <v>Responsável pela Análise:</v>
      </c>
      <c r="C8" s="403"/>
      <c r="D8" s="403"/>
      <c r="E8" s="403"/>
    </row>
    <row r="9" spans="1:13" x14ac:dyDescent="0.3">
      <c r="B9" s="30" t="s">
        <v>54</v>
      </c>
      <c r="C9" s="404"/>
      <c r="D9" s="404"/>
      <c r="E9" s="404"/>
    </row>
    <row r="11" spans="1:13" x14ac:dyDescent="0.3">
      <c r="B11" s="401" t="s">
        <v>62</v>
      </c>
      <c r="C11" s="401"/>
      <c r="D11" s="401"/>
      <c r="E11" s="401"/>
      <c r="F11" s="401"/>
      <c r="G11" s="401"/>
      <c r="H11" s="401"/>
      <c r="I11" s="401"/>
      <c r="J11" s="401"/>
      <c r="K11" s="401"/>
      <c r="L11" s="401"/>
      <c r="M11" s="401"/>
    </row>
    <row r="12" spans="1:13" x14ac:dyDescent="0.3">
      <c r="B12" s="406" t="s">
        <v>0</v>
      </c>
      <c r="C12" s="406" t="s">
        <v>1</v>
      </c>
      <c r="D12" s="406"/>
      <c r="E12" s="406"/>
      <c r="F12" s="406" t="s">
        <v>35</v>
      </c>
      <c r="G12" s="406"/>
      <c r="H12" s="406"/>
      <c r="I12" s="406" t="s">
        <v>36</v>
      </c>
      <c r="J12" s="406"/>
      <c r="K12" s="406" t="s">
        <v>10</v>
      </c>
      <c r="L12" s="406"/>
      <c r="M12" s="406" t="s">
        <v>34</v>
      </c>
    </row>
    <row r="13" spans="1:13" ht="72" x14ac:dyDescent="0.3">
      <c r="B13" s="406"/>
      <c r="C13" s="20" t="s">
        <v>2</v>
      </c>
      <c r="D13" s="20" t="s">
        <v>42</v>
      </c>
      <c r="E13" s="20" t="s">
        <v>3</v>
      </c>
      <c r="F13" s="20" t="s">
        <v>47</v>
      </c>
      <c r="G13" s="20" t="s">
        <v>48</v>
      </c>
      <c r="H13" s="20" t="s">
        <v>49</v>
      </c>
      <c r="I13" s="20" t="s">
        <v>50</v>
      </c>
      <c r="J13" s="20" t="s">
        <v>55</v>
      </c>
      <c r="K13" s="20" t="s">
        <v>51</v>
      </c>
      <c r="L13" s="20" t="s">
        <v>52</v>
      </c>
      <c r="M13" s="406"/>
    </row>
    <row r="14" spans="1:13" ht="24" x14ac:dyDescent="0.3">
      <c r="A14" s="1">
        <v>1</v>
      </c>
      <c r="B14" s="23" t="str">
        <f>'2. Exec Plano de Ação'!A18</f>
        <v xml:space="preserve">Comissão Exercício Profissional - CEP </v>
      </c>
      <c r="C14" s="23" t="str">
        <f>'2. Exec Plano de Ação'!B18</f>
        <v>P</v>
      </c>
      <c r="D14" s="24"/>
      <c r="E14" s="25" t="str">
        <f>'2. Exec Plano de Ação'!D18</f>
        <v>Caravana CAU</v>
      </c>
      <c r="F14" s="66">
        <v>1200</v>
      </c>
      <c r="G14" s="26">
        <v>0</v>
      </c>
      <c r="H14" s="6">
        <f>G14/F14</f>
        <v>0</v>
      </c>
      <c r="I14" s="4"/>
      <c r="J14" s="7">
        <f>I14*H14</f>
        <v>0</v>
      </c>
      <c r="K14" s="6">
        <f>I14/F14</f>
        <v>0</v>
      </c>
      <c r="L14" s="6" t="e">
        <f>J14/G14</f>
        <v>#DIV/0!</v>
      </c>
      <c r="M14" s="2"/>
    </row>
    <row r="15" spans="1:13" ht="24" x14ac:dyDescent="0.3">
      <c r="A15" s="1">
        <v>2</v>
      </c>
      <c r="B15" s="23" t="str">
        <f>'2. Exec Plano de Ação'!A19</f>
        <v xml:space="preserve">Comissão Exercício Profissional - CEP </v>
      </c>
      <c r="C15" s="23" t="str">
        <f>'2. Exec Plano de Ação'!B19</f>
        <v>P</v>
      </c>
      <c r="D15" s="24"/>
      <c r="E15" s="25" t="str">
        <f>'2. Exec Plano de Ação'!D19</f>
        <v>Cauniversitário</v>
      </c>
      <c r="F15" s="66">
        <v>3500</v>
      </c>
      <c r="G15" s="26">
        <v>0</v>
      </c>
      <c r="H15" s="6">
        <f t="shared" ref="H15:H26" si="0">G15/F15</f>
        <v>0</v>
      </c>
      <c r="I15" s="4"/>
      <c r="J15" s="7">
        <f t="shared" ref="J15:J26" si="1">I15*H15</f>
        <v>0</v>
      </c>
      <c r="K15" s="6">
        <f t="shared" ref="K15:K27" si="2">I15/F15</f>
        <v>0</v>
      </c>
      <c r="L15" s="6" t="e">
        <f t="shared" ref="L15:L26" si="3">J15/G15</f>
        <v>#DIV/0!</v>
      </c>
      <c r="M15" s="2"/>
    </row>
    <row r="16" spans="1:13" ht="24" x14ac:dyDescent="0.3">
      <c r="A16" s="1">
        <v>3</v>
      </c>
      <c r="B16" s="23" t="str">
        <f>'2. Exec Plano de Ação'!A20</f>
        <v xml:space="preserve">Comissão Exercício Profissional - CEP </v>
      </c>
      <c r="C16" s="23" t="str">
        <f>'2. Exec Plano de Ação'!B20</f>
        <v>P</v>
      </c>
      <c r="D16" s="24"/>
      <c r="E16" s="25" t="str">
        <f>'2. Exec Plano de Ação'!D20</f>
        <v>sou arquiteto, e agora?</v>
      </c>
      <c r="F16" s="66">
        <v>17000</v>
      </c>
      <c r="G16" s="26">
        <v>0</v>
      </c>
      <c r="H16" s="6">
        <f t="shared" si="0"/>
        <v>0</v>
      </c>
      <c r="I16" s="4"/>
      <c r="J16" s="7">
        <f t="shared" si="1"/>
        <v>0</v>
      </c>
      <c r="K16" s="6">
        <f t="shared" si="2"/>
        <v>0</v>
      </c>
      <c r="L16" s="6" t="e">
        <f t="shared" si="3"/>
        <v>#DIV/0!</v>
      </c>
      <c r="M16" s="2"/>
    </row>
    <row r="17" spans="1:13" ht="24" x14ac:dyDescent="0.3">
      <c r="A17" s="1">
        <v>4</v>
      </c>
      <c r="B17" s="23" t="str">
        <f>'2. Exec Plano de Ação'!A21</f>
        <v>Comissão de Ensino e Formação - CEF</v>
      </c>
      <c r="C17" s="23" t="str">
        <f>'2. Exec Plano de Ação'!B21</f>
        <v>P</v>
      </c>
      <c r="D17" s="24"/>
      <c r="E17" s="25" t="str">
        <f>'2. Exec Plano de Ação'!D21</f>
        <v>Dia do Arquiteto
(Prêmio TFG)</v>
      </c>
      <c r="F17" s="66">
        <v>22000</v>
      </c>
      <c r="G17" s="26">
        <v>0</v>
      </c>
      <c r="H17" s="6">
        <f t="shared" si="0"/>
        <v>0</v>
      </c>
      <c r="I17" s="4"/>
      <c r="J17" s="7">
        <f t="shared" si="1"/>
        <v>0</v>
      </c>
      <c r="K17" s="6">
        <f t="shared" si="2"/>
        <v>0</v>
      </c>
      <c r="L17" s="6" t="e">
        <f t="shared" si="3"/>
        <v>#DIV/0!</v>
      </c>
      <c r="M17" s="2"/>
    </row>
    <row r="18" spans="1:13" ht="24" x14ac:dyDescent="0.3">
      <c r="A18" s="1">
        <v>5</v>
      </c>
      <c r="B18" s="23" t="str">
        <f>'2. Exec Plano de Ação'!A22</f>
        <v>Comissão de Ensino e Formação - CEF</v>
      </c>
      <c r="C18" s="23" t="str">
        <f>'2. Exec Plano de Ação'!B22</f>
        <v>P</v>
      </c>
      <c r="D18" s="24"/>
      <c r="E18" s="25" t="str">
        <f>'2. Exec Plano de Ação'!D22</f>
        <v>Residência Técnica</v>
      </c>
      <c r="F18" s="66">
        <v>3250</v>
      </c>
      <c r="G18" s="26">
        <v>0</v>
      </c>
      <c r="H18" s="6">
        <f t="shared" si="0"/>
        <v>0</v>
      </c>
      <c r="I18" s="4"/>
      <c r="J18" s="7">
        <f t="shared" si="1"/>
        <v>0</v>
      </c>
      <c r="K18" s="6">
        <f t="shared" si="2"/>
        <v>0</v>
      </c>
      <c r="L18" s="6" t="e">
        <f t="shared" si="3"/>
        <v>#DIV/0!</v>
      </c>
      <c r="M18" s="2"/>
    </row>
    <row r="19" spans="1:13" ht="24" x14ac:dyDescent="0.3">
      <c r="A19" s="1">
        <v>6</v>
      </c>
      <c r="B19" s="23" t="str">
        <f>'2. Exec Plano de Ação'!A23</f>
        <v>Comissão de Ensino e Formação - CEF</v>
      </c>
      <c r="C19" s="23" t="str">
        <f>'2. Exec Plano de Ação'!B23</f>
        <v>P</v>
      </c>
      <c r="D19" s="24"/>
      <c r="E19" s="25" t="str">
        <f>'2. Exec Plano de Ação'!D23</f>
        <v>Programa de Formação continuada</v>
      </c>
      <c r="F19" s="66">
        <v>3250</v>
      </c>
      <c r="G19" s="26">
        <v>0</v>
      </c>
      <c r="H19" s="6">
        <f t="shared" si="0"/>
        <v>0</v>
      </c>
      <c r="I19" s="4"/>
      <c r="J19" s="7">
        <f t="shared" si="1"/>
        <v>0</v>
      </c>
      <c r="K19" s="6">
        <f t="shared" si="2"/>
        <v>0</v>
      </c>
      <c r="L19" s="6" t="e">
        <f t="shared" si="3"/>
        <v>#DIV/0!</v>
      </c>
      <c r="M19" s="2"/>
    </row>
    <row r="20" spans="1:13" ht="15.6" x14ac:dyDescent="0.3">
      <c r="A20" s="1">
        <v>7</v>
      </c>
      <c r="B20" s="23" t="str">
        <f>'2. Exec Plano de Ação'!A24</f>
        <v>Presidência</v>
      </c>
      <c r="C20" s="23" t="str">
        <f>'2. Exec Plano de Ação'!B24</f>
        <v>A</v>
      </c>
      <c r="D20" s="24"/>
      <c r="E20" s="25" t="str">
        <f>'2. Exec Plano de Ação'!D24</f>
        <v>Capacitação</v>
      </c>
      <c r="F20" s="66">
        <v>20055</v>
      </c>
      <c r="G20" s="29">
        <v>0</v>
      </c>
      <c r="H20" s="6">
        <f t="shared" si="0"/>
        <v>0</v>
      </c>
      <c r="I20" s="4"/>
      <c r="J20" s="7">
        <f t="shared" si="1"/>
        <v>0</v>
      </c>
      <c r="K20" s="6">
        <f t="shared" si="2"/>
        <v>0</v>
      </c>
      <c r="L20" s="6" t="e">
        <f t="shared" si="3"/>
        <v>#DIV/0!</v>
      </c>
      <c r="M20" s="2"/>
    </row>
    <row r="21" spans="1:13" ht="15.6" x14ac:dyDescent="0.3">
      <c r="A21" s="1">
        <v>8</v>
      </c>
      <c r="B21" s="23" t="str">
        <f>'2. Exec Plano de Ação'!A25</f>
        <v>Presidência</v>
      </c>
      <c r="C21" s="23" t="str">
        <f>'2. Exec Plano de Ação'!B25</f>
        <v>P</v>
      </c>
      <c r="D21" s="24"/>
      <c r="E21" s="25" t="str">
        <f>'2. Exec Plano de Ação'!D25</f>
        <v>Comunicação - plano de mídia</v>
      </c>
      <c r="F21" s="66">
        <v>30083</v>
      </c>
      <c r="G21" s="27">
        <v>0</v>
      </c>
      <c r="H21" s="6">
        <f t="shared" si="0"/>
        <v>0</v>
      </c>
      <c r="I21" s="4">
        <v>2500</v>
      </c>
      <c r="J21" s="7">
        <f t="shared" si="1"/>
        <v>0</v>
      </c>
      <c r="K21" s="6">
        <f t="shared" si="2"/>
        <v>8.3103413888242522E-2</v>
      </c>
      <c r="L21" s="6" t="e">
        <f t="shared" si="3"/>
        <v>#DIV/0!</v>
      </c>
      <c r="M21" s="2"/>
    </row>
    <row r="22" spans="1:13" ht="15.6" x14ac:dyDescent="0.3">
      <c r="A22" s="1">
        <v>9</v>
      </c>
      <c r="B22" s="23" t="str">
        <f>'2. Exec Plano de Ação'!A26</f>
        <v>Presidência</v>
      </c>
      <c r="C22" s="23" t="str">
        <f>'2. Exec Plano de Ação'!B26</f>
        <v>P</v>
      </c>
      <c r="D22" s="24"/>
      <c r="E22" s="25" t="str">
        <f>'2. Exec Plano de Ação'!D26</f>
        <v>Patrocínio</v>
      </c>
      <c r="F22" s="66">
        <v>10028</v>
      </c>
      <c r="G22" s="27">
        <v>0</v>
      </c>
      <c r="H22" s="6">
        <f t="shared" si="0"/>
        <v>0</v>
      </c>
      <c r="I22" s="4"/>
      <c r="J22" s="7">
        <f t="shared" si="1"/>
        <v>0</v>
      </c>
      <c r="K22" s="6">
        <f t="shared" si="2"/>
        <v>0</v>
      </c>
      <c r="L22" s="6" t="e">
        <f t="shared" si="3"/>
        <v>#DIV/0!</v>
      </c>
      <c r="M22" s="2"/>
    </row>
    <row r="23" spans="1:13" ht="15.6" x14ac:dyDescent="0.3">
      <c r="A23" s="1">
        <v>10</v>
      </c>
      <c r="B23" s="23" t="str">
        <f>'2. Exec Plano de Ação'!A27</f>
        <v>Presidência</v>
      </c>
      <c r="C23" s="23" t="str">
        <f>'2. Exec Plano de Ação'!B27</f>
        <v>A</v>
      </c>
      <c r="D23" s="24"/>
      <c r="E23" s="25" t="str">
        <f>'2. Exec Plano de Ação'!D27</f>
        <v>Atendimento</v>
      </c>
      <c r="F23" s="66">
        <v>127067</v>
      </c>
      <c r="G23" s="27">
        <v>0</v>
      </c>
      <c r="H23" s="6">
        <f t="shared" si="0"/>
        <v>0</v>
      </c>
      <c r="I23" s="4">
        <v>28927.85</v>
      </c>
      <c r="J23" s="7">
        <f t="shared" si="1"/>
        <v>0</v>
      </c>
      <c r="K23" s="6">
        <f t="shared" si="2"/>
        <v>0.22765824328897352</v>
      </c>
      <c r="L23" s="6" t="e">
        <f t="shared" si="3"/>
        <v>#DIV/0!</v>
      </c>
      <c r="M23" s="2"/>
    </row>
    <row r="24" spans="1:13" ht="22.8" x14ac:dyDescent="0.3">
      <c r="A24" s="1">
        <v>11</v>
      </c>
      <c r="B24" s="23" t="str">
        <f>'2. Exec Plano de Ação'!A28</f>
        <v>Presidência</v>
      </c>
      <c r="C24" s="23" t="str">
        <f>'2. Exec Plano de Ação'!B28</f>
        <v>A</v>
      </c>
      <c r="D24" s="24"/>
      <c r="E24" s="25" t="str">
        <f>'2. Exec Plano de Ação'!D28</f>
        <v>Manutenção das rotinas administrativas do CAU/AL</v>
      </c>
      <c r="F24" s="66">
        <v>393020</v>
      </c>
      <c r="G24" s="26">
        <v>0</v>
      </c>
      <c r="H24" s="6">
        <f t="shared" si="0"/>
        <v>0</v>
      </c>
      <c r="I24" s="4">
        <v>91445.91</v>
      </c>
      <c r="J24" s="7">
        <f t="shared" si="1"/>
        <v>0</v>
      </c>
      <c r="K24" s="6">
        <f t="shared" si="2"/>
        <v>0.23267495292860416</v>
      </c>
      <c r="L24" s="6" t="e">
        <f t="shared" si="3"/>
        <v>#DIV/0!</v>
      </c>
      <c r="M24" s="2"/>
    </row>
    <row r="25" spans="1:13" ht="15.6" x14ac:dyDescent="0.3">
      <c r="A25" s="1">
        <v>12</v>
      </c>
      <c r="B25" s="23" t="str">
        <f>'2. Exec Plano de Ação'!A29</f>
        <v>Presidência</v>
      </c>
      <c r="C25" s="23" t="str">
        <f>'2. Exec Plano de Ação'!B29</f>
        <v>A</v>
      </c>
      <c r="D25" s="24"/>
      <c r="E25" s="25" t="str">
        <f>'2. Exec Plano de Ação'!D29</f>
        <v>Fiscalização sistemática</v>
      </c>
      <c r="F25" s="66">
        <v>307283</v>
      </c>
      <c r="G25" s="26">
        <v>0</v>
      </c>
      <c r="H25" s="6">
        <f t="shared" si="0"/>
        <v>0</v>
      </c>
      <c r="I25" s="4">
        <v>59124.69</v>
      </c>
      <c r="J25" s="7">
        <f t="shared" si="1"/>
        <v>0</v>
      </c>
      <c r="K25" s="6">
        <f t="shared" si="2"/>
        <v>0.19241119749546837</v>
      </c>
      <c r="L25" s="6" t="e">
        <f t="shared" si="3"/>
        <v>#DIV/0!</v>
      </c>
      <c r="M25" s="2"/>
    </row>
    <row r="26" spans="1:13" ht="22.8" x14ac:dyDescent="0.3">
      <c r="A26" s="1">
        <v>13</v>
      </c>
      <c r="B26" s="23" t="str">
        <f>'2. Exec Plano de Ação'!A30</f>
        <v>Presidência</v>
      </c>
      <c r="C26" s="23" t="str">
        <f>'2. Exec Plano de Ação'!B30</f>
        <v>A</v>
      </c>
      <c r="D26" s="24"/>
      <c r="E26" s="25" t="str">
        <f>'2. Exec Plano de Ação'!D30</f>
        <v>Ações de suprimento a demanda de deslocamento de pessoal</v>
      </c>
      <c r="F26" s="66">
        <v>55000</v>
      </c>
      <c r="G26" s="26">
        <v>0</v>
      </c>
      <c r="H26" s="6">
        <f t="shared" si="0"/>
        <v>0</v>
      </c>
      <c r="I26" s="4">
        <v>20472.02</v>
      </c>
      <c r="J26" s="7">
        <f t="shared" si="1"/>
        <v>0</v>
      </c>
      <c r="K26" s="6">
        <f t="shared" si="2"/>
        <v>0.37221854545454547</v>
      </c>
      <c r="L26" s="6" t="e">
        <f t="shared" si="3"/>
        <v>#DIV/0!</v>
      </c>
      <c r="M26" s="2"/>
    </row>
    <row r="27" spans="1:13" ht="22.8" x14ac:dyDescent="0.3">
      <c r="A27" s="1">
        <v>14</v>
      </c>
      <c r="B27" s="23" t="str">
        <f>'2. Exec Plano de Ação'!A31</f>
        <v>Presidência</v>
      </c>
      <c r="C27" s="23" t="str">
        <f>'2. Exec Plano de Ação'!B31</f>
        <v>A</v>
      </c>
      <c r="D27" s="24"/>
      <c r="E27" s="25" t="str">
        <f>'2. Exec Plano de Ação'!D31</f>
        <v>Aporte ao centro de serviços compartilhados - CSC</v>
      </c>
      <c r="F27" s="66">
        <v>77489</v>
      </c>
      <c r="G27" s="26">
        <v>0</v>
      </c>
      <c r="H27" s="6">
        <f>G27/F27</f>
        <v>0</v>
      </c>
      <c r="I27" s="4">
        <v>19372.23</v>
      </c>
      <c r="J27" s="7">
        <f>I27*H27</f>
        <v>0</v>
      </c>
      <c r="K27" s="6">
        <f t="shared" si="2"/>
        <v>0.24999974189885016</v>
      </c>
      <c r="L27" s="6" t="e">
        <f>J27/G27</f>
        <v>#DIV/0!</v>
      </c>
      <c r="M27" s="2"/>
    </row>
    <row r="28" spans="1:13" ht="22.8" x14ac:dyDescent="0.3">
      <c r="A28" s="1">
        <v>15</v>
      </c>
      <c r="B28" s="23" t="str">
        <f>'2. Exec Plano de Ação'!A32</f>
        <v>Presidência</v>
      </c>
      <c r="C28" s="23" t="str">
        <f>'2. Exec Plano de Ação'!B32</f>
        <v>A</v>
      </c>
      <c r="D28" s="54"/>
      <c r="E28" s="25" t="str">
        <f>'2. Exec Plano de Ação'!D32</f>
        <v>Contribuição ao fundo nacional de apoio aos CAU/CAUFS</v>
      </c>
      <c r="F28" s="66">
        <v>37990</v>
      </c>
      <c r="G28" s="28">
        <v>0</v>
      </c>
      <c r="H28" s="52">
        <f>G28/F28</f>
        <v>0</v>
      </c>
      <c r="I28" s="4">
        <v>9497.49</v>
      </c>
      <c r="J28" s="57">
        <f>I28*H28</f>
        <v>0</v>
      </c>
      <c r="K28" s="52">
        <f>I28/F28</f>
        <v>0.24999973677283496</v>
      </c>
      <c r="L28" s="52" t="e">
        <f>J28/G28</f>
        <v>#DIV/0!</v>
      </c>
      <c r="M28" s="21"/>
    </row>
    <row r="29" spans="1:13" ht="15.6" x14ac:dyDescent="0.3">
      <c r="A29" s="1">
        <v>16</v>
      </c>
      <c r="B29" s="23" t="str">
        <f>'2. Exec Plano de Ação'!A33</f>
        <v>Presidência</v>
      </c>
      <c r="C29" s="23" t="str">
        <f>'2. Exec Plano de Ação'!B33</f>
        <v>A</v>
      </c>
      <c r="D29" s="54"/>
      <c r="E29" s="25" t="str">
        <f>'2. Exec Plano de Ação'!D33</f>
        <v>Reserva de contigência</v>
      </c>
      <c r="F29" s="66">
        <v>10028</v>
      </c>
      <c r="G29" s="55">
        <v>0</v>
      </c>
      <c r="H29" s="52">
        <f>G29/F29</f>
        <v>0</v>
      </c>
      <c r="I29" s="4"/>
      <c r="J29" s="53">
        <f>I29*H29</f>
        <v>0</v>
      </c>
      <c r="K29" s="52">
        <f>I29/F29</f>
        <v>0</v>
      </c>
      <c r="L29" s="52">
        <v>0</v>
      </c>
      <c r="M29" s="67"/>
    </row>
    <row r="30" spans="1:13" ht="24" x14ac:dyDescent="0.3">
      <c r="A30" s="1">
        <v>17</v>
      </c>
      <c r="B30" s="23" t="str">
        <f>'2. Exec Plano de Ação'!A34</f>
        <v>Comissão de Administração e Finanças - CAF</v>
      </c>
      <c r="C30" s="23" t="str">
        <f>'2. Exec Plano de Ação'!B34</f>
        <v>P</v>
      </c>
      <c r="D30" s="54"/>
      <c r="E30" s="25" t="str">
        <f>'2. Exec Plano de Ação'!D34</f>
        <v>Planejameno e redesenho dos processos do CAU/AL</v>
      </c>
      <c r="F30" s="66">
        <v>50000</v>
      </c>
      <c r="G30" s="55">
        <v>0</v>
      </c>
      <c r="H30" s="52">
        <f>G30/F30</f>
        <v>0</v>
      </c>
      <c r="I30" s="4"/>
      <c r="J30" s="53">
        <f>I30*H30</f>
        <v>0</v>
      </c>
      <c r="K30" s="52">
        <f>I30/F30</f>
        <v>0</v>
      </c>
      <c r="L30" s="52">
        <v>0</v>
      </c>
      <c r="M30" s="21"/>
    </row>
    <row r="31" spans="1:13" ht="15.6" x14ac:dyDescent="0.3">
      <c r="A31" s="1">
        <v>18</v>
      </c>
      <c r="B31" s="23" t="str">
        <f>'2. Exec Plano de Ação'!A35</f>
        <v>Presidência</v>
      </c>
      <c r="C31" s="23" t="str">
        <f>'2. Exec Plano de Ação'!B35</f>
        <v>P</v>
      </c>
      <c r="D31" s="54"/>
      <c r="E31" s="25" t="str">
        <f>'2. Exec Plano de Ação'!D35</f>
        <v xml:space="preserve">Ampliação das instalações da sede </v>
      </c>
      <c r="F31" s="66">
        <v>200000</v>
      </c>
      <c r="G31" s="28">
        <v>0</v>
      </c>
      <c r="H31" s="56">
        <f>G31/F31</f>
        <v>0</v>
      </c>
      <c r="I31" s="4">
        <v>28574.35</v>
      </c>
      <c r="J31" s="53">
        <f>I31*H31</f>
        <v>0</v>
      </c>
      <c r="K31" s="52">
        <f>I31/F31</f>
        <v>0.14287174999999999</v>
      </c>
      <c r="L31" s="52">
        <v>0</v>
      </c>
      <c r="M31" s="2"/>
    </row>
    <row r="32" spans="1:13" s="37" customFormat="1" ht="15.6" x14ac:dyDescent="0.3">
      <c r="B32" s="31" t="s">
        <v>11</v>
      </c>
      <c r="C32" s="31"/>
      <c r="D32" s="32"/>
      <c r="E32" s="32"/>
      <c r="F32" s="33">
        <f>SUM(F14:F31)</f>
        <v>1368243</v>
      </c>
      <c r="G32" s="34">
        <f>SUM(G14:G31)</f>
        <v>0</v>
      </c>
      <c r="H32" s="35" t="s">
        <v>53</v>
      </c>
      <c r="I32" s="33">
        <f>SUM(I14:I31)</f>
        <v>259914.54</v>
      </c>
      <c r="J32" s="47">
        <f>SUM(J14:J31)</f>
        <v>0</v>
      </c>
      <c r="K32" s="36">
        <f>I32/F32</f>
        <v>0.18996226547477313</v>
      </c>
      <c r="L32" s="35" t="s">
        <v>53</v>
      </c>
      <c r="M32" s="32"/>
    </row>
    <row r="33" spans="2:13" x14ac:dyDescent="0.3">
      <c r="B33" s="405" t="s">
        <v>33</v>
      </c>
      <c r="C33" s="405"/>
      <c r="D33" s="405"/>
      <c r="E33" s="405"/>
      <c r="F33" s="405"/>
      <c r="G33" s="405"/>
      <c r="H33" s="405"/>
      <c r="I33" s="405"/>
      <c r="J33" s="405"/>
      <c r="K33" s="405"/>
      <c r="L33" s="405"/>
      <c r="M33" s="405"/>
    </row>
    <row r="35" spans="2:13" ht="28.8" x14ac:dyDescent="0.3">
      <c r="B35" s="22" t="s">
        <v>63</v>
      </c>
      <c r="C35" s="398"/>
      <c r="D35" s="399"/>
      <c r="E35" s="399"/>
      <c r="F35" s="399"/>
      <c r="G35" s="399"/>
      <c r="H35" s="399"/>
      <c r="I35" s="399"/>
      <c r="J35" s="399"/>
      <c r="K35" s="399"/>
      <c r="L35" s="399"/>
      <c r="M35" s="400"/>
    </row>
  </sheetData>
  <autoFilter ref="B11:M3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autoFilter>
  <mergeCells count="12">
    <mergeCell ref="C35:M35"/>
    <mergeCell ref="B11:M11"/>
    <mergeCell ref="B6:M6"/>
    <mergeCell ref="C8:E8"/>
    <mergeCell ref="C9:E9"/>
    <mergeCell ref="B33:M33"/>
    <mergeCell ref="B12:B13"/>
    <mergeCell ref="M12:M13"/>
    <mergeCell ref="C12:E12"/>
    <mergeCell ref="I12:J12"/>
    <mergeCell ref="K12:L12"/>
    <mergeCell ref="F12:H12"/>
  </mergeCells>
  <pageMargins left="0.51181102362204722" right="0.51181102362204722" top="0.78740157480314965" bottom="0.78740157480314965" header="0.31496062992125984" footer="0.31496062992125984"/>
  <pageSetup paperSize="9" scale="6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0"/>
  <sheetViews>
    <sheetView showGridLines="0" view="pageBreakPreview" topLeftCell="A8" zoomScale="85" zoomScaleSheetLayoutView="85" workbookViewId="0">
      <selection activeCell="A21" sqref="A21"/>
    </sheetView>
  </sheetViews>
  <sheetFormatPr defaultColWidth="9.109375" defaultRowHeight="21" x14ac:dyDescent="0.4"/>
  <cols>
    <col min="1" max="1" width="48" style="79" bestFit="1" customWidth="1"/>
    <col min="2" max="2" width="16.5546875" style="79" bestFit="1" customWidth="1"/>
    <col min="3" max="3" width="18.6640625" style="79" bestFit="1" customWidth="1"/>
    <col min="4" max="4" width="11.5546875" style="79" bestFit="1" customWidth="1"/>
    <col min="5" max="5" width="16.5546875" style="79" bestFit="1" customWidth="1"/>
    <col min="6" max="6" width="18.33203125" style="79" bestFit="1" customWidth="1"/>
    <col min="7" max="7" width="11.5546875" style="107" bestFit="1" customWidth="1"/>
    <col min="8" max="8" width="11.6640625" style="108" bestFit="1" customWidth="1"/>
    <col min="9" max="16384" width="9.109375" style="79"/>
  </cols>
  <sheetData>
    <row r="1" spans="1:8" s="76" customFormat="1" x14ac:dyDescent="0.4">
      <c r="G1" s="77"/>
      <c r="H1" s="78"/>
    </row>
    <row r="2" spans="1:8" s="76" customFormat="1" x14ac:dyDescent="0.4">
      <c r="G2" s="77"/>
      <c r="H2" s="78"/>
    </row>
    <row r="3" spans="1:8" s="76" customFormat="1" x14ac:dyDescent="0.4">
      <c r="G3" s="77"/>
      <c r="H3" s="78"/>
    </row>
    <row r="4" spans="1:8" s="76" customFormat="1" x14ac:dyDescent="0.4">
      <c r="G4" s="77"/>
      <c r="H4" s="78"/>
    </row>
    <row r="5" spans="1:8" s="76" customFormat="1" x14ac:dyDescent="0.4">
      <c r="G5" s="77"/>
      <c r="H5" s="78"/>
    </row>
    <row r="6" spans="1:8" x14ac:dyDescent="0.4">
      <c r="A6" s="407" t="str">
        <f>'Dem Fontes e Usos'!A6:G6</f>
        <v>Relatório Mensal – Exercício 2018</v>
      </c>
      <c r="B6" s="385"/>
      <c r="C6" s="385"/>
      <c r="D6" s="385"/>
      <c r="E6" s="385"/>
      <c r="F6" s="385"/>
      <c r="G6" s="385"/>
      <c r="H6" s="385"/>
    </row>
    <row r="7" spans="1:8" x14ac:dyDescent="0.4">
      <c r="A7" s="411" t="str">
        <f>'Dem Fontes e Usos'!A7:G7</f>
        <v>RESPONSÁVEL PELA ELABORAÇÃO:  José Rodrigo Lopes - Gerente Adm e Financeiro</v>
      </c>
      <c r="B7" s="386"/>
      <c r="C7" s="386"/>
      <c r="D7" s="386"/>
      <c r="E7" s="386"/>
      <c r="F7" s="386"/>
      <c r="G7" s="386"/>
      <c r="H7" s="386"/>
    </row>
    <row r="8" spans="1:8" x14ac:dyDescent="0.4">
      <c r="A8" s="411" t="str">
        <f>'Dem Fontes e Usos'!A8:G8</f>
        <v>DATA DE ELABORAÇÃO:  11/04/2018</v>
      </c>
      <c r="B8" s="386"/>
      <c r="C8" s="386"/>
      <c r="D8" s="386"/>
      <c r="E8" s="386"/>
      <c r="F8" s="386"/>
      <c r="G8" s="386"/>
      <c r="H8" s="386"/>
    </row>
    <row r="9" spans="1:8" x14ac:dyDescent="0.4">
      <c r="A9" s="411" t="str">
        <f>'Dem Fontes e Usos'!A9:G9</f>
        <v>Período: 02/01/2018 a 31/03/2018</v>
      </c>
      <c r="B9" s="386"/>
      <c r="C9" s="386"/>
      <c r="D9" s="386"/>
      <c r="E9" s="386"/>
      <c r="F9" s="386"/>
      <c r="G9" s="386"/>
      <c r="H9" s="386"/>
    </row>
    <row r="10" spans="1:8" ht="21" customHeight="1" x14ac:dyDescent="0.4">
      <c r="A10" s="387" t="s">
        <v>230</v>
      </c>
      <c r="B10" s="387"/>
      <c r="C10" s="387"/>
      <c r="D10" s="387"/>
      <c r="E10" s="387"/>
      <c r="F10" s="387"/>
      <c r="G10" s="387"/>
      <c r="H10" s="140"/>
    </row>
    <row r="11" spans="1:8" ht="63" x14ac:dyDescent="0.4">
      <c r="A11" s="80" t="s">
        <v>12</v>
      </c>
      <c r="B11" s="81" t="s">
        <v>199</v>
      </c>
      <c r="C11" s="81" t="s">
        <v>247</v>
      </c>
      <c r="D11" s="82" t="s">
        <v>102</v>
      </c>
      <c r="E11" s="83" t="s">
        <v>231</v>
      </c>
      <c r="F11" s="81" t="s">
        <v>246</v>
      </c>
      <c r="G11" s="84" t="s">
        <v>102</v>
      </c>
      <c r="H11" s="84" t="s">
        <v>203</v>
      </c>
    </row>
    <row r="12" spans="1:8" x14ac:dyDescent="0.4">
      <c r="A12" s="408" t="s">
        <v>200</v>
      </c>
      <c r="B12" s="409"/>
      <c r="C12" s="409"/>
      <c r="D12" s="409"/>
      <c r="E12" s="409"/>
      <c r="F12" s="409"/>
      <c r="G12" s="409"/>
      <c r="H12" s="410"/>
    </row>
    <row r="13" spans="1:8" x14ac:dyDescent="0.4">
      <c r="A13" s="85" t="s">
        <v>20</v>
      </c>
      <c r="B13" s="86">
        <f>B14+B23+B22</f>
        <v>1125255</v>
      </c>
      <c r="C13" s="86">
        <f>C14+C23+C22</f>
        <v>380574.87</v>
      </c>
      <c r="D13" s="87">
        <f>C13/B13</f>
        <v>0.33821211192129785</v>
      </c>
      <c r="E13" s="86">
        <f>E14+E23+E22</f>
        <v>1201156</v>
      </c>
      <c r="F13" s="86">
        <f>'Dem Fontes e Usos'!C13</f>
        <v>394804.16000000003</v>
      </c>
      <c r="G13" s="88">
        <f>F13/E13</f>
        <v>0.32868683168547635</v>
      </c>
      <c r="H13" s="135">
        <f>F13/C13</f>
        <v>1.0373889374251117</v>
      </c>
    </row>
    <row r="14" spans="1:8" x14ac:dyDescent="0.4">
      <c r="A14" s="90" t="s">
        <v>13</v>
      </c>
      <c r="B14" s="91">
        <f>B15+B21</f>
        <v>1042940</v>
      </c>
      <c r="C14" s="91">
        <f>C15+C21</f>
        <v>359585.06</v>
      </c>
      <c r="D14" s="92">
        <f t="shared" ref="D14:D28" si="0">C14/B14</f>
        <v>0.34478019828561568</v>
      </c>
      <c r="E14" s="91">
        <f>E15+E21</f>
        <v>1059547</v>
      </c>
      <c r="F14" s="91">
        <f>'Dem Fontes e Usos'!C14</f>
        <v>370449.85000000003</v>
      </c>
      <c r="G14" s="93">
        <f t="shared" ref="G14:G28" si="1">F14/E14</f>
        <v>0.34963040808949486</v>
      </c>
      <c r="H14" s="94">
        <f t="shared" ref="H14:H28" si="2">F14/C14</f>
        <v>1.030214798134272</v>
      </c>
    </row>
    <row r="15" spans="1:8" x14ac:dyDescent="0.4">
      <c r="A15" s="95" t="s">
        <v>14</v>
      </c>
      <c r="B15" s="96">
        <f>SUM(B16:B20)</f>
        <v>496628</v>
      </c>
      <c r="C15" s="96">
        <f>SUM(C16:C20)</f>
        <v>243503.03999999998</v>
      </c>
      <c r="D15" s="97">
        <f t="shared" si="0"/>
        <v>0.49031274918047307</v>
      </c>
      <c r="E15" s="96">
        <f>SUM(E16:E20)</f>
        <v>546759</v>
      </c>
      <c r="F15" s="96">
        <f>'Dem Fontes e Usos'!C15</f>
        <v>252892.42000000004</v>
      </c>
      <c r="G15" s="98">
        <f t="shared" si="1"/>
        <v>0.4625299629269935</v>
      </c>
      <c r="H15" s="99">
        <f t="shared" si="2"/>
        <v>1.0385596007343483</v>
      </c>
    </row>
    <row r="16" spans="1:8" x14ac:dyDescent="0.4">
      <c r="A16" s="100" t="s">
        <v>15</v>
      </c>
      <c r="B16" s="101">
        <v>430670</v>
      </c>
      <c r="C16" s="207">
        <v>190887</v>
      </c>
      <c r="D16" s="92">
        <f t="shared" si="0"/>
        <v>0.44323263751828545</v>
      </c>
      <c r="E16" s="101">
        <f>'Dem Fontes e Usos'!B16</f>
        <v>470638</v>
      </c>
      <c r="F16" s="101">
        <f>'Dem Fontes e Usos'!C16</f>
        <v>192313.26</v>
      </c>
      <c r="G16" s="93">
        <f t="shared" si="1"/>
        <v>0.40862246567425498</v>
      </c>
      <c r="H16" s="94">
        <f t="shared" si="2"/>
        <v>1.007471750302535</v>
      </c>
    </row>
    <row r="17" spans="1:8" x14ac:dyDescent="0.4">
      <c r="A17" s="100" t="s">
        <v>224</v>
      </c>
      <c r="B17" s="357">
        <v>0</v>
      </c>
      <c r="C17" s="357">
        <v>25111.22</v>
      </c>
      <c r="D17" s="92"/>
      <c r="E17" s="101">
        <f>'Dem Fontes e Usos'!B17</f>
        <v>0</v>
      </c>
      <c r="F17" s="101">
        <f>'Dem Fontes e Usos'!C17</f>
        <v>32155.83</v>
      </c>
      <c r="G17" s="93"/>
      <c r="H17" s="94">
        <f t="shared" ref="H17:H19" si="3">F17/C17</f>
        <v>1.2805363498866245</v>
      </c>
    </row>
    <row r="18" spans="1:8" x14ac:dyDescent="0.4">
      <c r="A18" s="100" t="s">
        <v>16</v>
      </c>
      <c r="B18" s="101">
        <v>35581</v>
      </c>
      <c r="C18" s="101">
        <v>12892.46</v>
      </c>
      <c r="D18" s="92">
        <f t="shared" si="0"/>
        <v>0.36234113712374577</v>
      </c>
      <c r="E18" s="101">
        <f>'Dem Fontes e Usos'!B18</f>
        <v>35369</v>
      </c>
      <c r="F18" s="101">
        <f>'Dem Fontes e Usos'!C18</f>
        <v>10796.57</v>
      </c>
      <c r="G18" s="93">
        <f t="shared" ref="G18" si="4">F18/E18</f>
        <v>0.30525516695411237</v>
      </c>
      <c r="H18" s="94">
        <f t="shared" si="3"/>
        <v>0.83743288712937647</v>
      </c>
    </row>
    <row r="19" spans="1:8" x14ac:dyDescent="0.4">
      <c r="A19" s="100" t="s">
        <v>223</v>
      </c>
      <c r="B19" s="357">
        <v>0</v>
      </c>
      <c r="C19" s="357">
        <v>1081.5899999999999</v>
      </c>
      <c r="D19" s="92"/>
      <c r="E19" s="101">
        <f>'Dem Fontes e Usos'!B19</f>
        <v>0</v>
      </c>
      <c r="F19" s="101">
        <f>'Dem Fontes e Usos'!C19</f>
        <v>1589.34</v>
      </c>
      <c r="G19" s="93"/>
      <c r="H19" s="94">
        <f t="shared" si="3"/>
        <v>1.4694477574681719</v>
      </c>
    </row>
    <row r="20" spans="1:8" x14ac:dyDescent="0.4">
      <c r="A20" s="100" t="s">
        <v>17</v>
      </c>
      <c r="B20" s="101">
        <f>30377</f>
        <v>30377</v>
      </c>
      <c r="C20" s="207">
        <f>143.6+4267.54+5162.34+20.95+3936.34</f>
        <v>13530.77</v>
      </c>
      <c r="D20" s="92">
        <f>C20/B20</f>
        <v>0.44542811995917964</v>
      </c>
      <c r="E20" s="101">
        <f>'Dem Fontes e Usos'!B20</f>
        <v>40752</v>
      </c>
      <c r="F20" s="101">
        <f>'Dem Fontes e Usos'!C20</f>
        <v>16037.42</v>
      </c>
      <c r="G20" s="93">
        <f t="shared" si="1"/>
        <v>0.39353700431880645</v>
      </c>
      <c r="H20" s="94">
        <f t="shared" si="2"/>
        <v>1.1852555323902483</v>
      </c>
    </row>
    <row r="21" spans="1:8" x14ac:dyDescent="0.4">
      <c r="A21" s="95" t="s">
        <v>18</v>
      </c>
      <c r="B21" s="96">
        <v>546312</v>
      </c>
      <c r="C21" s="96">
        <v>116082.02</v>
      </c>
      <c r="D21" s="97">
        <f t="shared" si="0"/>
        <v>0.21248301336964959</v>
      </c>
      <c r="E21" s="96">
        <f>'Dem Fontes e Usos'!B21</f>
        <v>512788</v>
      </c>
      <c r="F21" s="96">
        <f>'Dem Fontes e Usos'!C21</f>
        <v>117557.43</v>
      </c>
      <c r="G21" s="98">
        <f t="shared" si="1"/>
        <v>0.22925152304656113</v>
      </c>
      <c r="H21" s="99">
        <f t="shared" si="2"/>
        <v>1.0127100648317455</v>
      </c>
    </row>
    <row r="22" spans="1:8" x14ac:dyDescent="0.4">
      <c r="A22" s="90" t="s">
        <v>37</v>
      </c>
      <c r="B22" s="91">
        <v>82315</v>
      </c>
      <c r="C22" s="208">
        <v>13719.16</v>
      </c>
      <c r="D22" s="92" t="s">
        <v>68</v>
      </c>
      <c r="E22" s="91">
        <f>'Dem Fontes e Usos'!B22</f>
        <v>120609</v>
      </c>
      <c r="F22" s="101">
        <f>'Dem Fontes e Usos'!C22</f>
        <v>20101.330000000002</v>
      </c>
      <c r="G22" s="93">
        <f t="shared" si="1"/>
        <v>0.16666525715328045</v>
      </c>
      <c r="H22" s="94" t="s">
        <v>68</v>
      </c>
    </row>
    <row r="23" spans="1:8" x14ac:dyDescent="0.4">
      <c r="A23" s="95" t="s">
        <v>38</v>
      </c>
      <c r="B23" s="96">
        <f>SUM(B24:B25)</f>
        <v>0</v>
      </c>
      <c r="C23" s="96">
        <f>SUM(C24:C25)</f>
        <v>7270.65</v>
      </c>
      <c r="D23" s="97" t="e">
        <f t="shared" si="0"/>
        <v>#DIV/0!</v>
      </c>
      <c r="E23" s="96">
        <f>SUM(E24:E25)</f>
        <v>21000</v>
      </c>
      <c r="F23" s="96">
        <f>'Dem Fontes e Usos'!C23</f>
        <v>4252.9799999999996</v>
      </c>
      <c r="G23" s="98" t="s">
        <v>68</v>
      </c>
      <c r="H23" s="99">
        <f t="shared" si="2"/>
        <v>0.58495182686554847</v>
      </c>
    </row>
    <row r="24" spans="1:8" x14ac:dyDescent="0.4">
      <c r="A24" s="100" t="s">
        <v>39</v>
      </c>
      <c r="B24" s="101">
        <v>0</v>
      </c>
      <c r="C24" s="207">
        <v>7270.65</v>
      </c>
      <c r="D24" s="92" t="e">
        <f t="shared" si="0"/>
        <v>#DIV/0!</v>
      </c>
      <c r="E24" s="101">
        <f>'Dem Fontes e Usos'!B24</f>
        <v>21000</v>
      </c>
      <c r="F24" s="101">
        <f>'Dem Fontes e Usos'!C24</f>
        <v>4252.9799999999996</v>
      </c>
      <c r="G24" s="93" t="s">
        <v>68</v>
      </c>
      <c r="H24" s="94">
        <f t="shared" si="2"/>
        <v>0.58495182686554847</v>
      </c>
    </row>
    <row r="25" spans="1:8" x14ac:dyDescent="0.4">
      <c r="A25" s="100" t="s">
        <v>40</v>
      </c>
      <c r="B25" s="101">
        <v>0</v>
      </c>
      <c r="C25" s="207"/>
      <c r="D25" s="92" t="s">
        <v>68</v>
      </c>
      <c r="E25" s="101">
        <f>'Dem Fontes e Usos'!B25</f>
        <v>0</v>
      </c>
      <c r="F25" s="101">
        <f>'Dem Fontes e Usos'!C25</f>
        <v>0</v>
      </c>
      <c r="G25" s="93" t="s">
        <v>68</v>
      </c>
      <c r="H25" s="94" t="s">
        <v>68</v>
      </c>
    </row>
    <row r="26" spans="1:8" x14ac:dyDescent="0.4">
      <c r="A26" s="85" t="s">
        <v>21</v>
      </c>
      <c r="B26" s="86">
        <f>B27</f>
        <v>50000</v>
      </c>
      <c r="C26" s="86">
        <f>C27</f>
        <v>0</v>
      </c>
      <c r="D26" s="87">
        <f t="shared" si="0"/>
        <v>0</v>
      </c>
      <c r="E26" s="86">
        <f>E27</f>
        <v>150000</v>
      </c>
      <c r="F26" s="86">
        <f>F27</f>
        <v>0</v>
      </c>
      <c r="G26" s="88">
        <f t="shared" si="1"/>
        <v>0</v>
      </c>
      <c r="H26" s="89" t="s">
        <v>68</v>
      </c>
    </row>
    <row r="27" spans="1:8" x14ac:dyDescent="0.4">
      <c r="A27" s="100" t="s">
        <v>19</v>
      </c>
      <c r="B27" s="101">
        <v>50000</v>
      </c>
      <c r="C27" s="101">
        <v>0</v>
      </c>
      <c r="D27" s="102">
        <f t="shared" si="0"/>
        <v>0</v>
      </c>
      <c r="E27" s="103">
        <f>'Dem Fontes e Usos'!B27</f>
        <v>150000</v>
      </c>
      <c r="F27" s="103"/>
      <c r="G27" s="93">
        <f t="shared" si="1"/>
        <v>0</v>
      </c>
      <c r="H27" s="94" t="s">
        <v>68</v>
      </c>
    </row>
    <row r="28" spans="1:8" x14ac:dyDescent="0.4">
      <c r="A28" s="85" t="s">
        <v>22</v>
      </c>
      <c r="B28" s="86">
        <f>B13+B26</f>
        <v>1175255</v>
      </c>
      <c r="C28" s="86">
        <f>C13+C26</f>
        <v>380574.87</v>
      </c>
      <c r="D28" s="104">
        <f t="shared" si="0"/>
        <v>0.32382322985224482</v>
      </c>
      <c r="E28" s="105">
        <f>E13+E26</f>
        <v>1351156</v>
      </c>
      <c r="F28" s="86">
        <f>F13+F26</f>
        <v>394804.16000000003</v>
      </c>
      <c r="G28" s="88">
        <f t="shared" si="1"/>
        <v>0.29219731844435431</v>
      </c>
      <c r="H28" s="89">
        <f t="shared" si="2"/>
        <v>1.0373889374251117</v>
      </c>
    </row>
    <row r="29" spans="1:8" x14ac:dyDescent="0.4">
      <c r="C29" s="106"/>
      <c r="D29" s="107"/>
    </row>
    <row r="30" spans="1:8" x14ac:dyDescent="0.4">
      <c r="C30" s="109"/>
      <c r="D30" s="107"/>
    </row>
  </sheetData>
  <mergeCells count="6">
    <mergeCell ref="A6:H6"/>
    <mergeCell ref="A12:H12"/>
    <mergeCell ref="A9:H9"/>
    <mergeCell ref="A8:H8"/>
    <mergeCell ref="A7:H7"/>
    <mergeCell ref="A10:G10"/>
  </mergeCells>
  <pageMargins left="0.51181102362204722" right="0.51181102362204722" top="0.78740157480314965" bottom="0.78740157480314965" header="0.31496062992125984" footer="0.31496062992125984"/>
  <pageSetup paperSize="9"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1"/>
  <sheetViews>
    <sheetView showGridLines="0" view="pageBreakPreview" topLeftCell="A11" zoomScale="115" zoomScaleSheetLayoutView="115" workbookViewId="0">
      <selection activeCell="F23" sqref="F23"/>
    </sheetView>
  </sheetViews>
  <sheetFormatPr defaultColWidth="68" defaultRowHeight="14.4" x14ac:dyDescent="0.3"/>
  <cols>
    <col min="1" max="1" width="34.109375" bestFit="1" customWidth="1"/>
    <col min="2" max="2" width="5.33203125" bestFit="1" customWidth="1"/>
    <col min="3" max="3" width="55.109375" customWidth="1"/>
    <col min="4" max="4" width="11" bestFit="1" customWidth="1"/>
    <col min="5" max="5" width="15.33203125" customWidth="1"/>
    <col min="6" max="6" width="11" bestFit="1" customWidth="1"/>
    <col min="7" max="7" width="16" bestFit="1" customWidth="1"/>
    <col min="8" max="8" width="12.109375" bestFit="1" customWidth="1"/>
  </cols>
  <sheetData>
    <row r="1" spans="1:8" s="76" customFormat="1" ht="21" x14ac:dyDescent="0.4">
      <c r="G1" s="77"/>
      <c r="H1" s="78"/>
    </row>
    <row r="2" spans="1:8" s="76" customFormat="1" ht="21" x14ac:dyDescent="0.4">
      <c r="G2" s="77"/>
      <c r="H2" s="78"/>
    </row>
    <row r="3" spans="1:8" s="76" customFormat="1" ht="21" x14ac:dyDescent="0.4">
      <c r="G3" s="77"/>
      <c r="H3" s="78"/>
    </row>
    <row r="4" spans="1:8" s="76" customFormat="1" ht="21" x14ac:dyDescent="0.4">
      <c r="G4" s="77"/>
      <c r="H4" s="78"/>
    </row>
    <row r="5" spans="1:8" s="76" customFormat="1" ht="21" x14ac:dyDescent="0.4">
      <c r="G5" s="77"/>
      <c r="H5" s="78"/>
    </row>
    <row r="6" spans="1:8" s="79" customFormat="1" ht="21" x14ac:dyDescent="0.4">
      <c r="A6" s="407" t="str">
        <f>'Dem Fontes e Usos'!A6:G6</f>
        <v>Relatório Mensal – Exercício 2018</v>
      </c>
      <c r="B6" s="385"/>
      <c r="C6" s="385"/>
      <c r="D6" s="385"/>
      <c r="E6" s="385"/>
      <c r="F6" s="385"/>
      <c r="G6" s="385"/>
      <c r="H6" s="385"/>
    </row>
    <row r="7" spans="1:8" s="79" customFormat="1" ht="21" x14ac:dyDescent="0.4">
      <c r="A7" s="411" t="str">
        <f>'Dem Fontes e Usos'!A7:G7</f>
        <v>RESPONSÁVEL PELA ELABORAÇÃO:  José Rodrigo Lopes - Gerente Adm e Financeiro</v>
      </c>
      <c r="B7" s="386"/>
      <c r="C7" s="386"/>
      <c r="D7" s="386"/>
      <c r="E7" s="386"/>
      <c r="F7" s="386"/>
      <c r="G7" s="386"/>
      <c r="H7" s="386"/>
    </row>
    <row r="8" spans="1:8" s="79" customFormat="1" ht="21" x14ac:dyDescent="0.4">
      <c r="A8" s="411" t="str">
        <f>'Dem Fontes e Usos'!A8:G8</f>
        <v>DATA DE ELABORAÇÃO:  11/04/2018</v>
      </c>
      <c r="B8" s="386"/>
      <c r="C8" s="386"/>
      <c r="D8" s="386"/>
      <c r="E8" s="386"/>
      <c r="F8" s="386"/>
      <c r="G8" s="386"/>
      <c r="H8" s="386"/>
    </row>
    <row r="9" spans="1:8" s="79" customFormat="1" ht="21" x14ac:dyDescent="0.4">
      <c r="A9" s="411" t="str">
        <f>'Dem Fontes e Usos'!A9:G9</f>
        <v>Período: 02/01/2018 a 31/03/2018</v>
      </c>
      <c r="B9" s="386"/>
      <c r="C9" s="386"/>
      <c r="D9" s="386"/>
      <c r="E9" s="386"/>
      <c r="F9" s="386"/>
      <c r="G9" s="386"/>
      <c r="H9" s="386"/>
    </row>
    <row r="10" spans="1:8" s="79" customFormat="1" ht="21.75" customHeight="1" thickBot="1" x14ac:dyDescent="0.45">
      <c r="A10" s="387" t="s">
        <v>121</v>
      </c>
      <c r="B10" s="387"/>
      <c r="C10" s="387"/>
      <c r="D10" s="387"/>
      <c r="E10" s="387"/>
      <c r="F10" s="387"/>
      <c r="G10" s="387"/>
      <c r="H10" s="140"/>
    </row>
    <row r="11" spans="1:8" s="1" customFormat="1" ht="62.25" customHeight="1" x14ac:dyDescent="0.3">
      <c r="A11" s="110" t="s">
        <v>56</v>
      </c>
      <c r="B11" s="111" t="s">
        <v>123</v>
      </c>
      <c r="C11" s="111" t="s">
        <v>3</v>
      </c>
      <c r="D11" s="111" t="s">
        <v>132</v>
      </c>
      <c r="E11" s="111" t="s">
        <v>130</v>
      </c>
      <c r="F11" s="111" t="s">
        <v>131</v>
      </c>
      <c r="G11" s="111" t="s">
        <v>87</v>
      </c>
      <c r="H11" s="112" t="s">
        <v>88</v>
      </c>
    </row>
    <row r="12" spans="1:8" s="1" customFormat="1" x14ac:dyDescent="0.3">
      <c r="A12" s="349" t="s">
        <v>70</v>
      </c>
      <c r="B12" s="350" t="s">
        <v>43</v>
      </c>
      <c r="C12" s="351" t="s">
        <v>74</v>
      </c>
      <c r="D12" s="352">
        <v>1000</v>
      </c>
      <c r="E12" s="353">
        <f t="shared" ref="E12:E26" si="0">D12/$D$26</f>
        <v>8.3253132815387838E-4</v>
      </c>
      <c r="F12" s="354"/>
      <c r="G12" s="353">
        <f t="shared" ref="G12:G24" si="1">F12/D12</f>
        <v>0</v>
      </c>
      <c r="H12" s="113">
        <f t="shared" ref="H12:H26" si="2">F12/$D$26</f>
        <v>0</v>
      </c>
    </row>
    <row r="13" spans="1:8" s="1" customFormat="1" x14ac:dyDescent="0.3">
      <c r="A13" s="349" t="s">
        <v>70</v>
      </c>
      <c r="B13" s="350" t="s">
        <v>43</v>
      </c>
      <c r="C13" s="351" t="s">
        <v>91</v>
      </c>
      <c r="D13" s="352">
        <v>10000</v>
      </c>
      <c r="E13" s="353">
        <f t="shared" si="0"/>
        <v>8.3253132815387845E-3</v>
      </c>
      <c r="F13" s="354"/>
      <c r="G13" s="353">
        <f t="shared" si="1"/>
        <v>0</v>
      </c>
      <c r="H13" s="113">
        <f t="shared" si="2"/>
        <v>0</v>
      </c>
    </row>
    <row r="14" spans="1:8" s="1" customFormat="1" x14ac:dyDescent="0.3">
      <c r="A14" s="349" t="s">
        <v>71</v>
      </c>
      <c r="B14" s="350" t="s">
        <v>43</v>
      </c>
      <c r="C14" s="351" t="s">
        <v>207</v>
      </c>
      <c r="D14" s="352">
        <v>22000</v>
      </c>
      <c r="E14" s="353">
        <f t="shared" si="0"/>
        <v>1.8315689219385325E-2</v>
      </c>
      <c r="F14" s="354"/>
      <c r="G14" s="353">
        <f t="shared" si="1"/>
        <v>0</v>
      </c>
      <c r="H14" s="113">
        <f t="shared" si="2"/>
        <v>0</v>
      </c>
    </row>
    <row r="15" spans="1:8" s="1" customFormat="1" x14ac:dyDescent="0.3">
      <c r="A15" s="349" t="s">
        <v>72</v>
      </c>
      <c r="B15" s="350" t="s">
        <v>44</v>
      </c>
      <c r="C15" s="351" t="s">
        <v>76</v>
      </c>
      <c r="D15" s="352">
        <v>12000</v>
      </c>
      <c r="E15" s="353">
        <f t="shared" si="0"/>
        <v>9.990375937846541E-3</v>
      </c>
      <c r="F15" s="360"/>
      <c r="G15" s="353">
        <f t="shared" si="1"/>
        <v>0</v>
      </c>
      <c r="H15" s="113">
        <f t="shared" si="2"/>
        <v>0</v>
      </c>
    </row>
    <row r="16" spans="1:8" s="1" customFormat="1" x14ac:dyDescent="0.3">
      <c r="A16" s="349" t="s">
        <v>72</v>
      </c>
      <c r="B16" s="350" t="s">
        <v>44</v>
      </c>
      <c r="C16" s="351" t="s">
        <v>77</v>
      </c>
      <c r="D16" s="352">
        <v>36000</v>
      </c>
      <c r="E16" s="353">
        <f t="shared" si="0"/>
        <v>2.9971127813539625E-2</v>
      </c>
      <c r="F16" s="360">
        <v>7500</v>
      </c>
      <c r="G16" s="353">
        <f t="shared" si="1"/>
        <v>0.20833333333333334</v>
      </c>
      <c r="H16" s="113">
        <f t="shared" si="2"/>
        <v>6.2439849611540879E-3</v>
      </c>
    </row>
    <row r="17" spans="1:8" s="1" customFormat="1" x14ac:dyDescent="0.3">
      <c r="A17" s="349" t="s">
        <v>72</v>
      </c>
      <c r="B17" s="350" t="s">
        <v>44</v>
      </c>
      <c r="C17" s="351" t="s">
        <v>95</v>
      </c>
      <c r="D17" s="352">
        <v>151001</v>
      </c>
      <c r="E17" s="353">
        <f t="shared" si="0"/>
        <v>0.1257130630825638</v>
      </c>
      <c r="F17" s="360">
        <v>32470.560000000001</v>
      </c>
      <c r="G17" s="353">
        <f t="shared" si="1"/>
        <v>0.21503539711657541</v>
      </c>
      <c r="H17" s="113">
        <f t="shared" si="2"/>
        <v>2.70327584427002E-2</v>
      </c>
    </row>
    <row r="18" spans="1:8" s="1" customFormat="1" x14ac:dyDescent="0.3">
      <c r="A18" s="349" t="s">
        <v>72</v>
      </c>
      <c r="B18" s="350" t="s">
        <v>44</v>
      </c>
      <c r="C18" s="351" t="s">
        <v>96</v>
      </c>
      <c r="D18" s="352">
        <v>449449</v>
      </c>
      <c r="E18" s="353">
        <f t="shared" si="0"/>
        <v>0.3741803729074325</v>
      </c>
      <c r="F18" s="360">
        <v>122172</v>
      </c>
      <c r="G18" s="353">
        <f t="shared" si="1"/>
        <v>0.27182616937628074</v>
      </c>
      <c r="H18" s="113">
        <f t="shared" si="2"/>
        <v>0.10171201742321563</v>
      </c>
    </row>
    <row r="19" spans="1:8" s="1" customFormat="1" x14ac:dyDescent="0.3">
      <c r="A19" s="349" t="s">
        <v>72</v>
      </c>
      <c r="B19" s="350" t="s">
        <v>44</v>
      </c>
      <c r="C19" s="351" t="s">
        <v>79</v>
      </c>
      <c r="D19" s="352">
        <v>298176</v>
      </c>
      <c r="E19" s="353">
        <f t="shared" si="0"/>
        <v>0.24824086130361087</v>
      </c>
      <c r="F19" s="361">
        <v>54448.46</v>
      </c>
      <c r="G19" s="353">
        <f t="shared" si="1"/>
        <v>0.18260510570937968</v>
      </c>
      <c r="H19" s="113">
        <f t="shared" si="2"/>
        <v>4.5330048719733326E-2</v>
      </c>
    </row>
    <row r="20" spans="1:8" s="1" customFormat="1" x14ac:dyDescent="0.3">
      <c r="A20" s="349" t="s">
        <v>72</v>
      </c>
      <c r="B20" s="350" t="s">
        <v>44</v>
      </c>
      <c r="C20" s="351" t="s">
        <v>75</v>
      </c>
      <c r="D20" s="352">
        <v>61826</v>
      </c>
      <c r="E20" s="353">
        <f t="shared" si="0"/>
        <v>5.147208189444169E-2</v>
      </c>
      <c r="F20" s="361">
        <v>7792.69</v>
      </c>
      <c r="G20" s="353">
        <f t="shared" si="1"/>
        <v>0.12604227994694789</v>
      </c>
      <c r="H20" s="113">
        <f t="shared" si="2"/>
        <v>6.4876585555914464E-3</v>
      </c>
    </row>
    <row r="21" spans="1:8" s="1" customFormat="1" ht="26.4" x14ac:dyDescent="0.3">
      <c r="A21" s="349" t="s">
        <v>72</v>
      </c>
      <c r="B21" s="350" t="s">
        <v>44</v>
      </c>
      <c r="C21" s="351" t="s">
        <v>236</v>
      </c>
      <c r="D21" s="352">
        <v>68805</v>
      </c>
      <c r="E21" s="353">
        <f t="shared" si="0"/>
        <v>5.7282318033627606E-2</v>
      </c>
      <c r="F21" s="360">
        <v>16680.060000000001</v>
      </c>
      <c r="G21" s="353">
        <f t="shared" si="1"/>
        <v>0.24242511445389145</v>
      </c>
      <c r="H21" s="113">
        <f t="shared" si="2"/>
        <v>1.3886672505486383E-2</v>
      </c>
    </row>
    <row r="22" spans="1:8" s="1" customFormat="1" ht="26.4" x14ac:dyDescent="0.3">
      <c r="A22" s="349" t="s">
        <v>72</v>
      </c>
      <c r="B22" s="350" t="s">
        <v>44</v>
      </c>
      <c r="C22" s="351" t="s">
        <v>237</v>
      </c>
      <c r="D22" s="352">
        <v>13399</v>
      </c>
      <c r="E22" s="353">
        <f t="shared" si="0"/>
        <v>1.1155087265933818E-2</v>
      </c>
      <c r="F22" s="360">
        <v>3248.26</v>
      </c>
      <c r="G22" s="353">
        <f t="shared" si="1"/>
        <v>0.24242555414583181</v>
      </c>
      <c r="H22" s="113">
        <f t="shared" si="2"/>
        <v>2.7042782119891173E-3</v>
      </c>
    </row>
    <row r="23" spans="1:8" s="1" customFormat="1" x14ac:dyDescent="0.3">
      <c r="A23" s="349" t="s">
        <v>72</v>
      </c>
      <c r="B23" s="350" t="s">
        <v>44</v>
      </c>
      <c r="C23" s="351" t="s">
        <v>82</v>
      </c>
      <c r="D23" s="352">
        <v>34464</v>
      </c>
      <c r="E23" s="353">
        <f t="shared" si="0"/>
        <v>2.8692359693495265E-2</v>
      </c>
      <c r="F23" s="361">
        <v>8616</v>
      </c>
      <c r="G23" s="353">
        <f t="shared" si="1"/>
        <v>0.25</v>
      </c>
      <c r="H23" s="113">
        <f t="shared" si="2"/>
        <v>7.1730899233738163E-3</v>
      </c>
    </row>
    <row r="24" spans="1:8" s="1" customFormat="1" x14ac:dyDescent="0.3">
      <c r="A24" s="349" t="s">
        <v>72</v>
      </c>
      <c r="B24" s="350" t="s">
        <v>44</v>
      </c>
      <c r="C24" s="351" t="s">
        <v>163</v>
      </c>
      <c r="D24" s="352">
        <v>11000</v>
      </c>
      <c r="E24" s="353">
        <f t="shared" si="0"/>
        <v>9.1578446096926627E-3</v>
      </c>
      <c r="F24" s="354"/>
      <c r="G24" s="353">
        <f t="shared" si="1"/>
        <v>0</v>
      </c>
      <c r="H24" s="113">
        <f t="shared" si="2"/>
        <v>0</v>
      </c>
    </row>
    <row r="25" spans="1:8" s="1" customFormat="1" x14ac:dyDescent="0.3">
      <c r="A25" s="349" t="s">
        <v>72</v>
      </c>
      <c r="B25" s="350" t="s">
        <v>43</v>
      </c>
      <c r="C25" s="351" t="s">
        <v>202</v>
      </c>
      <c r="D25" s="352">
        <v>32036</v>
      </c>
      <c r="E25" s="353">
        <f t="shared" si="0"/>
        <v>2.6670973628737649E-2</v>
      </c>
      <c r="F25" s="354"/>
      <c r="G25" s="353">
        <f t="shared" ref="G25" si="3">F25/D25</f>
        <v>0</v>
      </c>
      <c r="H25" s="113">
        <f t="shared" si="2"/>
        <v>0</v>
      </c>
    </row>
    <row r="26" spans="1:8" s="1" customFormat="1" ht="15.6" x14ac:dyDescent="0.3">
      <c r="A26" s="224" t="s">
        <v>84</v>
      </c>
      <c r="B26" s="223"/>
      <c r="C26" s="115"/>
      <c r="D26" s="116">
        <f>SUM(D12:D25)</f>
        <v>1201156</v>
      </c>
      <c r="E26" s="117">
        <f t="shared" si="0"/>
        <v>1</v>
      </c>
      <c r="F26" s="196">
        <f>SUM(F12:F25)</f>
        <v>252928.03</v>
      </c>
      <c r="G26" s="118">
        <f>F26/D26</f>
        <v>0.21057050874324401</v>
      </c>
      <c r="H26" s="199">
        <f t="shared" si="2"/>
        <v>0.21057050874324401</v>
      </c>
    </row>
    <row r="27" spans="1:8" s="1" customFormat="1" x14ac:dyDescent="0.3">
      <c r="A27" s="349" t="s">
        <v>72</v>
      </c>
      <c r="B27" s="350" t="s">
        <v>43</v>
      </c>
      <c r="C27" s="351" t="s">
        <v>235</v>
      </c>
      <c r="D27" s="355">
        <v>150000</v>
      </c>
      <c r="E27" s="356">
        <f>D27/$D$28</f>
        <v>1</v>
      </c>
      <c r="F27" s="330">
        <v>2200</v>
      </c>
      <c r="G27" s="356">
        <f>F27/D27</f>
        <v>1.4666666666666666E-2</v>
      </c>
      <c r="H27" s="200">
        <f>F27/D28</f>
        <v>1.4666666666666666E-2</v>
      </c>
    </row>
    <row r="28" spans="1:8" s="37" customFormat="1" ht="15.6" x14ac:dyDescent="0.3">
      <c r="A28" s="114" t="s">
        <v>85</v>
      </c>
      <c r="B28" s="189"/>
      <c r="C28" s="115"/>
      <c r="D28" s="116">
        <f>SUM(D27:D27)</f>
        <v>150000</v>
      </c>
      <c r="E28" s="117">
        <f>D28/$D$28</f>
        <v>1</v>
      </c>
      <c r="F28" s="196">
        <f>SUM(F27:F27)</f>
        <v>2200</v>
      </c>
      <c r="G28" s="118">
        <f>F28/D28</f>
        <v>1.4666666666666666E-2</v>
      </c>
      <c r="H28" s="199">
        <f>F28/D28</f>
        <v>1.4666666666666666E-2</v>
      </c>
    </row>
    <row r="29" spans="1:8" x14ac:dyDescent="0.3">
      <c r="A29" s="119"/>
      <c r="B29" s="120"/>
      <c r="C29" s="120"/>
      <c r="D29" s="120"/>
      <c r="E29" s="120"/>
      <c r="F29" s="197"/>
      <c r="G29" s="120"/>
      <c r="H29" s="121"/>
    </row>
    <row r="30" spans="1:8" ht="16.2" thickBot="1" x14ac:dyDescent="0.35">
      <c r="A30" s="122" t="s">
        <v>86</v>
      </c>
      <c r="B30" s="123"/>
      <c r="C30" s="124"/>
      <c r="D30" s="125">
        <f>D26+D28</f>
        <v>1351156</v>
      </c>
      <c r="E30" s="126">
        <f>D30/$D$30</f>
        <v>1</v>
      </c>
      <c r="F30" s="198">
        <f>F26+F28</f>
        <v>255128.03</v>
      </c>
      <c r="G30" s="127">
        <f>F30/D30</f>
        <v>0.18882203831385866</v>
      </c>
      <c r="H30" s="128">
        <f>F30/D30</f>
        <v>0.18882203831385866</v>
      </c>
    </row>
    <row r="31" spans="1:8" x14ac:dyDescent="0.3">
      <c r="A31" t="s">
        <v>122</v>
      </c>
    </row>
  </sheetData>
  <mergeCells count="5">
    <mergeCell ref="A6:H6"/>
    <mergeCell ref="A7:H7"/>
    <mergeCell ref="A8:H8"/>
    <mergeCell ref="A9:H9"/>
    <mergeCell ref="A10:G10"/>
  </mergeCells>
  <pageMargins left="0.51181102362204722" right="0.51181102362204722" top="0.59055118110236227" bottom="0.59055118110236227" header="0.31496062992125984" footer="0.31496062992125984"/>
  <pageSetup paperSize="9" scale="57"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N27"/>
  <sheetViews>
    <sheetView showGridLines="0" view="pageBreakPreview" topLeftCell="A10" zoomScaleSheetLayoutView="100" workbookViewId="0">
      <selection activeCell="O15" sqref="O15"/>
    </sheetView>
  </sheetViews>
  <sheetFormatPr defaultColWidth="9.109375" defaultRowHeight="15" x14ac:dyDescent="0.3"/>
  <cols>
    <col min="1" max="1" width="10.88671875" style="74" bestFit="1" customWidth="1"/>
    <col min="2" max="2" width="13.6640625" style="74" bestFit="1" customWidth="1"/>
    <col min="3" max="4" width="11.44140625" style="74" customWidth="1"/>
    <col min="5" max="5" width="9.33203125" style="74" bestFit="1" customWidth="1"/>
    <col min="6" max="7" width="10.5546875" style="74" bestFit="1" customWidth="1"/>
    <col min="8" max="8" width="9.33203125" style="74" bestFit="1" customWidth="1"/>
    <col min="9" max="13" width="11.44140625" style="74" customWidth="1"/>
    <col min="14" max="14" width="17.109375" style="74" customWidth="1"/>
    <col min="15" max="15" width="12.44140625" style="74" bestFit="1" customWidth="1"/>
    <col min="16" max="16384" width="9.109375" style="74"/>
  </cols>
  <sheetData>
    <row r="1" spans="1:14" s="76" customFormat="1" ht="21" x14ac:dyDescent="0.4">
      <c r="G1" s="77"/>
      <c r="H1" s="78"/>
    </row>
    <row r="2" spans="1:14" s="76" customFormat="1" ht="21" x14ac:dyDescent="0.4">
      <c r="G2" s="77"/>
      <c r="H2" s="78"/>
    </row>
    <row r="3" spans="1:14" s="76" customFormat="1" ht="21" x14ac:dyDescent="0.4">
      <c r="G3" s="77"/>
      <c r="H3" s="78"/>
    </row>
    <row r="4" spans="1:14" s="76" customFormat="1" ht="21" x14ac:dyDescent="0.4">
      <c r="G4" s="77"/>
      <c r="H4" s="78"/>
    </row>
    <row r="5" spans="1:14" s="76" customFormat="1" ht="21" x14ac:dyDescent="0.4">
      <c r="G5" s="77"/>
      <c r="H5" s="78"/>
    </row>
    <row r="6" spans="1:14" s="79" customFormat="1" ht="21" customHeight="1" x14ac:dyDescent="0.4">
      <c r="A6" s="407" t="str">
        <f>'Dem Fontes e Usos'!A6:G6</f>
        <v>Relatório Mensal – Exercício 2018</v>
      </c>
      <c r="B6" s="385"/>
      <c r="C6" s="385"/>
      <c r="D6" s="385"/>
      <c r="E6" s="385"/>
      <c r="F6" s="385"/>
      <c r="G6" s="385"/>
      <c r="H6" s="385"/>
      <c r="I6" s="385"/>
      <c r="J6" s="385"/>
      <c r="K6" s="385"/>
      <c r="L6" s="385"/>
      <c r="M6" s="385"/>
      <c r="N6" s="385"/>
    </row>
    <row r="7" spans="1:14" s="79" customFormat="1" ht="21" customHeight="1" x14ac:dyDescent="0.4">
      <c r="A7" s="411" t="str">
        <f>'Dem Fontes e Usos'!A7:G7</f>
        <v>RESPONSÁVEL PELA ELABORAÇÃO:  José Rodrigo Lopes - Gerente Adm e Financeiro</v>
      </c>
      <c r="B7" s="386"/>
      <c r="C7" s="386"/>
      <c r="D7" s="386"/>
      <c r="E7" s="386"/>
      <c r="F7" s="386"/>
      <c r="G7" s="386"/>
      <c r="H7" s="386"/>
      <c r="I7" s="386"/>
      <c r="J7" s="386"/>
      <c r="K7" s="386"/>
      <c r="L7" s="386"/>
      <c r="M7" s="386"/>
      <c r="N7" s="386"/>
    </row>
    <row r="8" spans="1:14" s="79" customFormat="1" ht="21" customHeight="1" x14ac:dyDescent="0.4">
      <c r="A8" s="411" t="str">
        <f>'Dem Fontes e Usos'!A8:G8</f>
        <v>DATA DE ELABORAÇÃO:  11/04/2018</v>
      </c>
      <c r="B8" s="386"/>
      <c r="C8" s="386"/>
      <c r="D8" s="386"/>
      <c r="E8" s="386"/>
      <c r="F8" s="386"/>
      <c r="G8" s="386"/>
      <c r="H8" s="386"/>
      <c r="I8" s="386"/>
      <c r="J8" s="386"/>
      <c r="K8" s="386"/>
      <c r="L8" s="386"/>
      <c r="M8" s="386"/>
      <c r="N8" s="386"/>
    </row>
    <row r="9" spans="1:14" s="79" customFormat="1" ht="21" x14ac:dyDescent="0.4">
      <c r="A9" s="411" t="str">
        <f>'Dem Fontes e Usos'!A9:G9</f>
        <v>Período: 02/01/2018 a 31/03/2018</v>
      </c>
      <c r="B9" s="386"/>
      <c r="C9" s="386"/>
      <c r="D9" s="386"/>
      <c r="E9" s="386"/>
      <c r="F9" s="386"/>
      <c r="G9" s="386"/>
      <c r="H9" s="386"/>
      <c r="I9" s="386"/>
      <c r="J9" s="386"/>
      <c r="K9" s="386"/>
      <c r="L9" s="386"/>
      <c r="M9" s="386"/>
      <c r="N9" s="386"/>
    </row>
    <row r="10" spans="1:14" s="79" customFormat="1" ht="21.75" customHeight="1" thickBot="1" x14ac:dyDescent="0.45">
      <c r="A10" s="387" t="s">
        <v>129</v>
      </c>
      <c r="B10" s="387"/>
      <c r="C10" s="387"/>
      <c r="D10" s="387"/>
      <c r="E10" s="387"/>
      <c r="F10" s="387"/>
      <c r="G10" s="387"/>
      <c r="H10" s="140"/>
      <c r="I10" s="387"/>
      <c r="J10" s="387"/>
      <c r="K10" s="387"/>
      <c r="L10" s="387"/>
      <c r="M10" s="387"/>
      <c r="N10" s="387"/>
    </row>
    <row r="11" spans="1:14" ht="31.5" customHeight="1" thickBot="1" x14ac:dyDescent="0.35">
      <c r="A11" s="412" t="s">
        <v>169</v>
      </c>
      <c r="B11" s="413"/>
      <c r="C11" s="413"/>
      <c r="D11" s="413"/>
      <c r="E11" s="413"/>
      <c r="F11" s="413"/>
      <c r="G11" s="413"/>
      <c r="H11" s="413"/>
      <c r="I11" s="413"/>
      <c r="J11" s="413"/>
      <c r="K11" s="413"/>
      <c r="L11" s="413"/>
      <c r="M11" s="413"/>
      <c r="N11" s="414"/>
    </row>
    <row r="12" spans="1:14" ht="31.5" customHeight="1" thickBot="1" x14ac:dyDescent="0.35">
      <c r="A12" s="271" t="s">
        <v>114</v>
      </c>
      <c r="B12" s="272" t="s">
        <v>107</v>
      </c>
      <c r="C12" s="272" t="s">
        <v>108</v>
      </c>
      <c r="D12" s="272" t="s">
        <v>109</v>
      </c>
      <c r="E12" s="272" t="s">
        <v>110</v>
      </c>
      <c r="F12" s="272" t="s">
        <v>111</v>
      </c>
      <c r="G12" s="272" t="s">
        <v>112</v>
      </c>
      <c r="H12" s="272" t="s">
        <v>113</v>
      </c>
      <c r="I12" s="272" t="s">
        <v>115</v>
      </c>
      <c r="J12" s="272" t="s">
        <v>116</v>
      </c>
      <c r="K12" s="272" t="s">
        <v>117</v>
      </c>
      <c r="L12" s="272" t="s">
        <v>118</v>
      </c>
      <c r="M12" s="272" t="s">
        <v>119</v>
      </c>
      <c r="N12" s="285" t="s">
        <v>11</v>
      </c>
    </row>
    <row r="13" spans="1:14" ht="31.5" customHeight="1" thickBot="1" x14ac:dyDescent="0.35">
      <c r="A13" s="282">
        <v>2014</v>
      </c>
      <c r="B13" s="334">
        <v>102540.39</v>
      </c>
      <c r="C13" s="335">
        <v>157602.09</v>
      </c>
      <c r="D13" s="335">
        <v>66469.36</v>
      </c>
      <c r="E13" s="335">
        <v>85967.12</v>
      </c>
      <c r="F13" s="335">
        <v>120916.08</v>
      </c>
      <c r="G13" s="335">
        <v>73971.38</v>
      </c>
      <c r="H13" s="335">
        <v>84775.11</v>
      </c>
      <c r="I13" s="335">
        <v>110286</v>
      </c>
      <c r="J13" s="335">
        <v>65652.98</v>
      </c>
      <c r="K13" s="335">
        <v>121800.08</v>
      </c>
      <c r="L13" s="335">
        <v>49853.61</v>
      </c>
      <c r="M13" s="336">
        <v>102483.68</v>
      </c>
      <c r="N13" s="286">
        <f>SUM(B13:M13)</f>
        <v>1142317.8799999999</v>
      </c>
    </row>
    <row r="14" spans="1:14" ht="31.5" customHeight="1" thickBot="1" x14ac:dyDescent="0.35">
      <c r="A14" s="282">
        <v>2015</v>
      </c>
      <c r="B14" s="284">
        <v>115645.97</v>
      </c>
      <c r="C14" s="136">
        <v>159671.28</v>
      </c>
      <c r="D14" s="136">
        <v>101851.21</v>
      </c>
      <c r="E14" s="136">
        <v>91442.12</v>
      </c>
      <c r="F14" s="136">
        <v>93753.14</v>
      </c>
      <c r="G14" s="136">
        <v>83782.45</v>
      </c>
      <c r="H14" s="136">
        <v>85388.82</v>
      </c>
      <c r="I14" s="136">
        <v>63805.98</v>
      </c>
      <c r="J14" s="136">
        <v>67896.72</v>
      </c>
      <c r="K14" s="136">
        <v>64399.97</v>
      </c>
      <c r="L14" s="136">
        <v>51283.97</v>
      </c>
      <c r="M14" s="137">
        <v>53127.519999999997</v>
      </c>
      <c r="N14" s="287">
        <f>SUM(B14:M14)</f>
        <v>1032049.1499999999</v>
      </c>
    </row>
    <row r="15" spans="1:14" ht="28.5" customHeight="1" thickBot="1" x14ac:dyDescent="0.35">
      <c r="A15" s="282">
        <v>2016</v>
      </c>
      <c r="B15" s="278">
        <v>95810.240000000005</v>
      </c>
      <c r="C15" s="265">
        <v>132769.26</v>
      </c>
      <c r="D15" s="265">
        <v>93104.24</v>
      </c>
      <c r="E15" s="265">
        <v>85829.01</v>
      </c>
      <c r="F15" s="265">
        <v>81155.570000000007</v>
      </c>
      <c r="G15" s="265">
        <v>89337.59</v>
      </c>
      <c r="H15" s="265">
        <v>60562.13</v>
      </c>
      <c r="I15" s="265">
        <v>73191.360000000001</v>
      </c>
      <c r="J15" s="265">
        <v>118134.86</v>
      </c>
      <c r="K15" s="265">
        <v>68261.34</v>
      </c>
      <c r="L15" s="283">
        <v>68325.509999999995</v>
      </c>
      <c r="M15" s="268">
        <f>83094.18</f>
        <v>83094.179999999993</v>
      </c>
      <c r="N15" s="286">
        <f>SUM(B15:M15)</f>
        <v>1049575.29</v>
      </c>
    </row>
    <row r="16" spans="1:14" ht="28.5" customHeight="1" thickBot="1" x14ac:dyDescent="0.35">
      <c r="A16" s="282" t="s">
        <v>201</v>
      </c>
      <c r="B16" s="284">
        <v>117209.37</v>
      </c>
      <c r="C16" s="136">
        <v>171258.3</v>
      </c>
      <c r="D16" s="136">
        <v>92107.199999999997</v>
      </c>
      <c r="E16" s="136">
        <v>81870.7</v>
      </c>
      <c r="F16" s="136">
        <v>126701.56</v>
      </c>
      <c r="G16" s="136">
        <v>103984.8</v>
      </c>
      <c r="H16" s="136">
        <v>64170.58</v>
      </c>
      <c r="I16" s="136">
        <v>74499.899999999994</v>
      </c>
      <c r="J16" s="136">
        <v>63640.84</v>
      </c>
      <c r="K16" s="136">
        <v>68384.03</v>
      </c>
      <c r="L16" s="136">
        <v>84774.73</v>
      </c>
      <c r="M16" s="136">
        <v>74176.509999999995</v>
      </c>
      <c r="N16" s="287">
        <f>SUM(B16:M16)</f>
        <v>1122778.52</v>
      </c>
    </row>
    <row r="17" spans="1:14" ht="28.5" customHeight="1" thickBot="1" x14ac:dyDescent="0.35">
      <c r="A17" s="282" t="s">
        <v>232</v>
      </c>
      <c r="B17" s="337">
        <v>141042.64000000001</v>
      </c>
      <c r="C17" s="338">
        <v>136625.49</v>
      </c>
      <c r="D17" s="338">
        <v>117136.03</v>
      </c>
      <c r="E17" s="338"/>
      <c r="F17" s="338"/>
      <c r="G17" s="338"/>
      <c r="H17" s="338"/>
      <c r="I17" s="338"/>
      <c r="J17" s="338"/>
      <c r="K17" s="338"/>
      <c r="L17" s="338"/>
      <c r="M17" s="338"/>
      <c r="N17" s="287">
        <f>SUM(B17:M17)</f>
        <v>394804.16000000003</v>
      </c>
    </row>
    <row r="18" spans="1:14" ht="15.6" thickBot="1" x14ac:dyDescent="0.35">
      <c r="A18" s="138"/>
      <c r="B18" s="138"/>
      <c r="C18" s="138"/>
      <c r="D18" s="138"/>
      <c r="E18" s="138"/>
      <c r="F18" s="138"/>
      <c r="G18" s="138"/>
      <c r="H18" s="138"/>
      <c r="I18" s="138"/>
      <c r="J18" s="138"/>
      <c r="K18" s="138"/>
      <c r="L18" s="138"/>
      <c r="M18" s="138"/>
      <c r="N18" s="138"/>
    </row>
    <row r="19" spans="1:14" ht="31.5" customHeight="1" thickBot="1" x14ac:dyDescent="0.35">
      <c r="A19" s="412" t="s">
        <v>222</v>
      </c>
      <c r="B19" s="413"/>
      <c r="C19" s="413"/>
      <c r="D19" s="413"/>
      <c r="E19" s="413"/>
      <c r="F19" s="413"/>
      <c r="G19" s="413"/>
      <c r="H19" s="413"/>
      <c r="I19" s="413"/>
      <c r="J19" s="413"/>
      <c r="K19" s="413"/>
      <c r="L19" s="413"/>
      <c r="M19" s="413"/>
      <c r="N19" s="414"/>
    </row>
    <row r="20" spans="1:14" ht="31.5" customHeight="1" thickBot="1" x14ac:dyDescent="0.35">
      <c r="A20" s="271" t="s">
        <v>114</v>
      </c>
      <c r="B20" s="272" t="s">
        <v>107</v>
      </c>
      <c r="C20" s="272" t="s">
        <v>108</v>
      </c>
      <c r="D20" s="272" t="s">
        <v>109</v>
      </c>
      <c r="E20" s="272" t="s">
        <v>110</v>
      </c>
      <c r="F20" s="272" t="s">
        <v>111</v>
      </c>
      <c r="G20" s="272" t="s">
        <v>112</v>
      </c>
      <c r="H20" s="272" t="s">
        <v>113</v>
      </c>
      <c r="I20" s="272" t="s">
        <v>115</v>
      </c>
      <c r="J20" s="272" t="s">
        <v>116</v>
      </c>
      <c r="K20" s="272" t="s">
        <v>117</v>
      </c>
      <c r="L20" s="272" t="s">
        <v>118</v>
      </c>
      <c r="M20" s="272" t="s">
        <v>119</v>
      </c>
      <c r="N20" s="285" t="s">
        <v>11</v>
      </c>
    </row>
    <row r="21" spans="1:14" ht="31.5" customHeight="1" thickBot="1" x14ac:dyDescent="0.35">
      <c r="A21" s="282">
        <v>2014</v>
      </c>
      <c r="B21" s="334">
        <v>102540.39</v>
      </c>
      <c r="C21" s="335">
        <f>157602.09-10075.22</f>
        <v>147526.87</v>
      </c>
      <c r="D21" s="335">
        <v>66469.36</v>
      </c>
      <c r="E21" s="335">
        <f>85967.12-10075.22</f>
        <v>75891.899999999994</v>
      </c>
      <c r="F21" s="335">
        <f>120916.08-36978.81</f>
        <v>83937.27</v>
      </c>
      <c r="G21" s="335">
        <v>73971.38</v>
      </c>
      <c r="H21" s="335">
        <f>84775.11-19043.08</f>
        <v>65732.03</v>
      </c>
      <c r="I21" s="335">
        <f>110286-38086.16</f>
        <v>72199.839999999997</v>
      </c>
      <c r="J21" s="335">
        <v>65652.98</v>
      </c>
      <c r="K21" s="335">
        <f>121800.08-57129.24</f>
        <v>64670.840000000004</v>
      </c>
      <c r="L21" s="335">
        <v>49853.61</v>
      </c>
      <c r="M21" s="335">
        <f>102483.68-38086.16</f>
        <v>64397.51999999999</v>
      </c>
      <c r="N21" s="286">
        <f>SUM(B21:M21)</f>
        <v>932843.99</v>
      </c>
    </row>
    <row r="22" spans="1:14" ht="31.5" customHeight="1" thickBot="1" x14ac:dyDescent="0.35">
      <c r="A22" s="282">
        <v>2015</v>
      </c>
      <c r="B22" s="284">
        <v>115645.97</v>
      </c>
      <c r="C22" s="136">
        <f>159671.28-250.11</f>
        <v>159421.17000000001</v>
      </c>
      <c r="D22" s="136">
        <v>101851.21</v>
      </c>
      <c r="E22" s="136">
        <v>91442.12</v>
      </c>
      <c r="F22" s="136">
        <v>93753.14</v>
      </c>
      <c r="G22" s="136">
        <v>83782.45</v>
      </c>
      <c r="H22" s="136">
        <v>85388.82</v>
      </c>
      <c r="I22" s="136">
        <v>63805.98</v>
      </c>
      <c r="J22" s="136">
        <v>67896.72</v>
      </c>
      <c r="K22" s="136">
        <v>64399.97</v>
      </c>
      <c r="L22" s="136">
        <v>51283.97</v>
      </c>
      <c r="M22" s="136">
        <v>53127.519999999997</v>
      </c>
      <c r="N22" s="287">
        <f>SUM(B22:M22)</f>
        <v>1031799.0399999998</v>
      </c>
    </row>
    <row r="23" spans="1:14" ht="28.5" customHeight="1" thickBot="1" x14ac:dyDescent="0.35">
      <c r="A23" s="282">
        <v>2016</v>
      </c>
      <c r="B23" s="278">
        <v>95810.240000000005</v>
      </c>
      <c r="C23" s="265">
        <v>132769.26</v>
      </c>
      <c r="D23" s="265">
        <v>93104.24</v>
      </c>
      <c r="E23" s="265">
        <v>85829.01</v>
      </c>
      <c r="F23" s="265">
        <v>81155.570000000007</v>
      </c>
      <c r="G23" s="265">
        <v>89337.59</v>
      </c>
      <c r="H23" s="265">
        <v>60562.13</v>
      </c>
      <c r="I23" s="265">
        <f>73191.36-3879.26</f>
        <v>69312.100000000006</v>
      </c>
      <c r="J23" s="265">
        <f>118134.86-49930.67</f>
        <v>68204.19</v>
      </c>
      <c r="K23" s="265">
        <f>68261.34-6241.33</f>
        <v>62020.009999999995</v>
      </c>
      <c r="L23" s="283">
        <f>68325.51-6241.33</f>
        <v>62084.179999999993</v>
      </c>
      <c r="M23" s="268">
        <f>83094.18-6241.33-6241.37</f>
        <v>70611.48</v>
      </c>
      <c r="N23" s="286">
        <f>SUM(B23:M23)</f>
        <v>970800</v>
      </c>
    </row>
    <row r="24" spans="1:14" ht="28.5" customHeight="1" thickBot="1" x14ac:dyDescent="0.35">
      <c r="A24" s="282" t="s">
        <v>201</v>
      </c>
      <c r="B24" s="277">
        <f>B16-6859.58</f>
        <v>110349.79</v>
      </c>
      <c r="C24" s="129">
        <f>C16-6859.58</f>
        <v>164398.72</v>
      </c>
      <c r="D24" s="129">
        <f>D16</f>
        <v>92107.199999999997</v>
      </c>
      <c r="E24" s="129">
        <f t="shared" ref="E24:K24" si="0">E16</f>
        <v>81870.7</v>
      </c>
      <c r="F24" s="129">
        <f>F16-13719.16</f>
        <v>112982.39999999999</v>
      </c>
      <c r="G24" s="129">
        <f>G16-6859.58</f>
        <v>97125.22</v>
      </c>
      <c r="H24" s="129">
        <f>H16-6859.58</f>
        <v>57311</v>
      </c>
      <c r="I24" s="129">
        <f t="shared" si="0"/>
        <v>74499.899999999994</v>
      </c>
      <c r="J24" s="129">
        <f t="shared" si="0"/>
        <v>63640.84</v>
      </c>
      <c r="K24" s="129">
        <f t="shared" si="0"/>
        <v>68384.03</v>
      </c>
      <c r="L24" s="129">
        <f>L16-20578.74</f>
        <v>64195.989999999991</v>
      </c>
      <c r="M24" s="129">
        <f>M16-20578.74</f>
        <v>53597.76999999999</v>
      </c>
      <c r="N24" s="287">
        <f>SUM(B24:M24)</f>
        <v>1040463.56</v>
      </c>
    </row>
    <row r="25" spans="1:14" ht="28.5" customHeight="1" thickBot="1" x14ac:dyDescent="0.35">
      <c r="A25" s="282" t="s">
        <v>232</v>
      </c>
      <c r="B25" s="339">
        <f>B17-10050.75</f>
        <v>130991.89000000001</v>
      </c>
      <c r="C25" s="340">
        <f>136625.49-10050.58</f>
        <v>126574.90999999999</v>
      </c>
      <c r="D25" s="338">
        <v>117136.03</v>
      </c>
      <c r="E25" s="340"/>
      <c r="F25" s="340"/>
      <c r="G25" s="340"/>
      <c r="H25" s="340"/>
      <c r="I25" s="340"/>
      <c r="J25" s="340"/>
      <c r="K25" s="340"/>
      <c r="L25" s="340"/>
      <c r="M25" s="340"/>
      <c r="N25" s="287">
        <f>SUM(B25:M25)</f>
        <v>374702.82999999996</v>
      </c>
    </row>
    <row r="27" spans="1:14" x14ac:dyDescent="0.3">
      <c r="K27" s="71"/>
      <c r="L27" s="71"/>
      <c r="M27" s="71"/>
    </row>
  </sheetData>
  <mergeCells count="8">
    <mergeCell ref="A6:N6"/>
    <mergeCell ref="A11:N11"/>
    <mergeCell ref="A19:N19"/>
    <mergeCell ref="A7:N7"/>
    <mergeCell ref="A8:N8"/>
    <mergeCell ref="A9:N9"/>
    <mergeCell ref="A10:G10"/>
    <mergeCell ref="I10:N10"/>
  </mergeCells>
  <printOptions horizontalCentered="1"/>
  <pageMargins left="0.39370078740157483" right="0.39370078740157483" top="0.78740157480314965" bottom="0.78740157480314965" header="0.31496062992125984" footer="0.31496062992125984"/>
  <pageSetup paperSize="9" scale="57" orientation="portrait" r:id="rId1"/>
  <ignoredErrors>
    <ignoredError sqref="L24" formula="1"/>
  </ignoredError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N29"/>
  <sheetViews>
    <sheetView showGridLines="0" view="pageBreakPreview" topLeftCell="A13" zoomScaleSheetLayoutView="100" workbookViewId="0">
      <selection activeCell="H28" sqref="H28"/>
    </sheetView>
  </sheetViews>
  <sheetFormatPr defaultColWidth="9.109375" defaultRowHeight="15" x14ac:dyDescent="0.3"/>
  <cols>
    <col min="1" max="1" width="10.88671875" style="70" bestFit="1" customWidth="1"/>
    <col min="2" max="5" width="11.44140625" style="70" customWidth="1"/>
    <col min="6" max="6" width="12.88671875" style="70" bestFit="1" customWidth="1"/>
    <col min="7" max="13" width="11.44140625" style="70" customWidth="1"/>
    <col min="14" max="14" width="17.109375" style="70" customWidth="1"/>
    <col min="15" max="15" width="12.44140625" style="70" bestFit="1" customWidth="1"/>
    <col min="16" max="16384" width="9.109375" style="70"/>
  </cols>
  <sheetData>
    <row r="1" spans="1:14" s="76" customFormat="1" ht="21" x14ac:dyDescent="0.4">
      <c r="G1" s="77"/>
      <c r="H1" s="78"/>
    </row>
    <row r="2" spans="1:14" s="76" customFormat="1" ht="21" x14ac:dyDescent="0.4">
      <c r="G2" s="77"/>
      <c r="H2" s="78"/>
    </row>
    <row r="3" spans="1:14" s="76" customFormat="1" ht="21" x14ac:dyDescent="0.4">
      <c r="G3" s="77"/>
      <c r="H3" s="78"/>
    </row>
    <row r="4" spans="1:14" s="76" customFormat="1" ht="21" x14ac:dyDescent="0.4">
      <c r="G4" s="77"/>
      <c r="H4" s="78"/>
    </row>
    <row r="5" spans="1:14" s="76" customFormat="1" ht="21" x14ac:dyDescent="0.4">
      <c r="G5" s="77"/>
      <c r="H5" s="78"/>
    </row>
    <row r="6" spans="1:14" s="79" customFormat="1" ht="21" customHeight="1" x14ac:dyDescent="0.4">
      <c r="A6" s="407" t="str">
        <f>'Dem Fontes e Usos'!A6:G6</f>
        <v>Relatório Mensal – Exercício 2018</v>
      </c>
      <c r="B6" s="385"/>
      <c r="C6" s="385"/>
      <c r="D6" s="385"/>
      <c r="E6" s="385"/>
      <c r="F6" s="385"/>
      <c r="G6" s="385"/>
      <c r="H6" s="385"/>
      <c r="I6" s="385"/>
      <c r="J6" s="385"/>
      <c r="K6" s="385"/>
      <c r="L6" s="385"/>
      <c r="M6" s="385"/>
      <c r="N6" s="385"/>
    </row>
    <row r="7" spans="1:14" s="79" customFormat="1" ht="21" x14ac:dyDescent="0.4">
      <c r="A7" s="411" t="str">
        <f>'Dem Fontes e Usos'!A7:G7</f>
        <v>RESPONSÁVEL PELA ELABORAÇÃO:  José Rodrigo Lopes - Gerente Adm e Financeiro</v>
      </c>
      <c r="B7" s="386"/>
      <c r="C7" s="386"/>
      <c r="D7" s="386"/>
      <c r="E7" s="386"/>
      <c r="F7" s="386"/>
      <c r="G7" s="386"/>
      <c r="H7" s="386"/>
      <c r="I7" s="386"/>
      <c r="J7" s="386"/>
      <c r="K7" s="386"/>
      <c r="L7" s="386"/>
      <c r="M7" s="386"/>
      <c r="N7" s="386"/>
    </row>
    <row r="8" spans="1:14" s="79" customFormat="1" ht="21" x14ac:dyDescent="0.4">
      <c r="A8" s="411" t="str">
        <f>'Dem Fontes e Usos'!A8:G8</f>
        <v>DATA DE ELABORAÇÃO:  11/04/2018</v>
      </c>
      <c r="B8" s="386"/>
      <c r="C8" s="386"/>
      <c r="D8" s="386"/>
      <c r="E8" s="386"/>
      <c r="F8" s="386"/>
      <c r="G8" s="386"/>
      <c r="H8" s="386"/>
      <c r="I8" s="386"/>
      <c r="J8" s="386"/>
      <c r="K8" s="386"/>
      <c r="L8" s="386"/>
      <c r="M8" s="386"/>
      <c r="N8" s="386"/>
    </row>
    <row r="9" spans="1:14" s="79" customFormat="1" ht="21" customHeight="1" x14ac:dyDescent="0.4">
      <c r="A9" s="411" t="str">
        <f>'Dem Fontes e Usos'!A9:G9</f>
        <v>Período: 02/01/2018 a 31/03/2018</v>
      </c>
      <c r="B9" s="386"/>
      <c r="C9" s="386"/>
      <c r="D9" s="386"/>
      <c r="E9" s="386"/>
      <c r="F9" s="386"/>
      <c r="G9" s="386"/>
      <c r="H9" s="386"/>
      <c r="I9" s="386"/>
      <c r="J9" s="386"/>
      <c r="K9" s="386"/>
      <c r="L9" s="386"/>
      <c r="M9" s="386"/>
      <c r="N9" s="386"/>
    </row>
    <row r="10" spans="1:14" s="79" customFormat="1" ht="21.75" customHeight="1" thickBot="1" x14ac:dyDescent="0.45">
      <c r="A10" s="387" t="s">
        <v>127</v>
      </c>
      <c r="B10" s="387"/>
      <c r="C10" s="387"/>
      <c r="D10" s="387"/>
      <c r="E10" s="387"/>
      <c r="F10" s="387"/>
      <c r="G10" s="387"/>
      <c r="H10" s="140"/>
      <c r="I10" s="387"/>
      <c r="J10" s="387"/>
      <c r="K10" s="387"/>
      <c r="L10" s="387"/>
      <c r="M10" s="387"/>
      <c r="N10" s="387"/>
    </row>
    <row r="11" spans="1:14" ht="31.5" customHeight="1" thickBot="1" x14ac:dyDescent="0.35">
      <c r="A11" s="412" t="s">
        <v>166</v>
      </c>
      <c r="B11" s="413"/>
      <c r="C11" s="413"/>
      <c r="D11" s="413"/>
      <c r="E11" s="413"/>
      <c r="F11" s="413"/>
      <c r="G11" s="413"/>
      <c r="H11" s="413"/>
      <c r="I11" s="413"/>
      <c r="J11" s="413"/>
      <c r="K11" s="413"/>
      <c r="L11" s="413"/>
      <c r="M11" s="413"/>
      <c r="N11" s="414"/>
    </row>
    <row r="12" spans="1:14" ht="31.5" customHeight="1" thickBot="1" x14ac:dyDescent="0.35">
      <c r="A12" s="271" t="s">
        <v>114</v>
      </c>
      <c r="B12" s="272" t="s">
        <v>107</v>
      </c>
      <c r="C12" s="272" t="s">
        <v>108</v>
      </c>
      <c r="D12" s="272" t="s">
        <v>109</v>
      </c>
      <c r="E12" s="272" t="s">
        <v>110</v>
      </c>
      <c r="F12" s="272" t="s">
        <v>111</v>
      </c>
      <c r="G12" s="272" t="s">
        <v>112</v>
      </c>
      <c r="H12" s="272" t="s">
        <v>113</v>
      </c>
      <c r="I12" s="272" t="s">
        <v>115</v>
      </c>
      <c r="J12" s="272" t="s">
        <v>116</v>
      </c>
      <c r="K12" s="272" t="s">
        <v>117</v>
      </c>
      <c r="L12" s="272" t="s">
        <v>118</v>
      </c>
      <c r="M12" s="272" t="s">
        <v>119</v>
      </c>
      <c r="N12" s="273" t="s">
        <v>11</v>
      </c>
    </row>
    <row r="13" spans="1:14" ht="31.5" customHeight="1" thickBot="1" x14ac:dyDescent="0.35">
      <c r="A13" s="282">
        <v>2014</v>
      </c>
      <c r="B13" s="341">
        <v>32735.52</v>
      </c>
      <c r="C13" s="342">
        <v>83858.740000000005</v>
      </c>
      <c r="D13" s="342">
        <v>56915.93</v>
      </c>
      <c r="E13" s="342">
        <v>63829.45</v>
      </c>
      <c r="F13" s="342">
        <v>96129.68</v>
      </c>
      <c r="G13" s="342">
        <v>53808.21</v>
      </c>
      <c r="H13" s="342">
        <v>52806.17</v>
      </c>
      <c r="I13" s="342">
        <v>65116.83</v>
      </c>
      <c r="J13" s="342">
        <v>62187.4</v>
      </c>
      <c r="K13" s="342">
        <v>581538.56000000006</v>
      </c>
      <c r="L13" s="342">
        <v>75257.73</v>
      </c>
      <c r="M13" s="343">
        <v>81993.33</v>
      </c>
      <c r="N13" s="274">
        <f>SUM(B13:M13)</f>
        <v>1306177.5500000003</v>
      </c>
    </row>
    <row r="14" spans="1:14" ht="31.5" customHeight="1" thickBot="1" x14ac:dyDescent="0.35">
      <c r="A14" s="282">
        <v>2015</v>
      </c>
      <c r="B14" s="344">
        <v>31979.34</v>
      </c>
      <c r="C14" s="129">
        <v>71601.05</v>
      </c>
      <c r="D14" s="129">
        <v>72418.33</v>
      </c>
      <c r="E14" s="129">
        <v>61569.82</v>
      </c>
      <c r="F14" s="129">
        <v>68698.52</v>
      </c>
      <c r="G14" s="129">
        <v>69689.14</v>
      </c>
      <c r="H14" s="129">
        <v>70245.13</v>
      </c>
      <c r="I14" s="129">
        <v>82776.009999999995</v>
      </c>
      <c r="J14" s="129">
        <v>81743.75</v>
      </c>
      <c r="K14" s="129">
        <v>65534.35</v>
      </c>
      <c r="L14" s="129">
        <v>101076.71</v>
      </c>
      <c r="M14" s="267">
        <v>180517.37</v>
      </c>
      <c r="N14" s="275">
        <f>SUM(B14:M14)</f>
        <v>957849.5199999999</v>
      </c>
    </row>
    <row r="15" spans="1:14" ht="28.5" customHeight="1" thickBot="1" x14ac:dyDescent="0.35">
      <c r="A15" s="282">
        <v>2016</v>
      </c>
      <c r="B15" s="345">
        <v>59428.71</v>
      </c>
      <c r="C15" s="72">
        <v>116089.8</v>
      </c>
      <c r="D15" s="72">
        <v>84396.03</v>
      </c>
      <c r="E15" s="72">
        <v>105828.97</v>
      </c>
      <c r="F15" s="72">
        <v>135107.85999999999</v>
      </c>
      <c r="G15" s="72">
        <v>127064.79</v>
      </c>
      <c r="H15" s="72">
        <v>146545.87</v>
      </c>
      <c r="I15" s="72">
        <v>131238.82</v>
      </c>
      <c r="J15" s="72">
        <v>71176.639999999999</v>
      </c>
      <c r="K15" s="72">
        <v>71650.240000000005</v>
      </c>
      <c r="L15" s="72">
        <v>81314.240000000005</v>
      </c>
      <c r="M15" s="266">
        <v>141843.25</v>
      </c>
      <c r="N15" s="274">
        <f>SUM(B15:M15)</f>
        <v>1271685.2200000002</v>
      </c>
    </row>
    <row r="16" spans="1:14" s="74" customFormat="1" ht="28.5" customHeight="1" thickBot="1" x14ac:dyDescent="0.35">
      <c r="A16" s="282" t="s">
        <v>201</v>
      </c>
      <c r="B16" s="344">
        <v>63635.839999999997</v>
      </c>
      <c r="C16" s="129">
        <v>60109.37</v>
      </c>
      <c r="D16" s="129">
        <v>106306.67</v>
      </c>
      <c r="E16" s="129">
        <v>78234.490000000005</v>
      </c>
      <c r="F16" s="129">
        <v>85920.89</v>
      </c>
      <c r="G16" s="129">
        <v>80731.3</v>
      </c>
      <c r="H16" s="129">
        <v>84261.4</v>
      </c>
      <c r="I16" s="129">
        <v>93248.36</v>
      </c>
      <c r="J16" s="129">
        <v>73346.490000000005</v>
      </c>
      <c r="K16" s="129">
        <v>77036.679999999993</v>
      </c>
      <c r="L16" s="129">
        <v>104831.23</v>
      </c>
      <c r="M16" s="267">
        <v>147555</v>
      </c>
      <c r="N16" s="275">
        <f>SUM(B16:M16)</f>
        <v>1055217.72</v>
      </c>
    </row>
    <row r="17" spans="1:14" s="74" customFormat="1" ht="28.5" customHeight="1" thickBot="1" x14ac:dyDescent="0.35">
      <c r="A17" s="282" t="s">
        <v>232</v>
      </c>
      <c r="B17" s="346">
        <v>86858.880000000005</v>
      </c>
      <c r="C17" s="340">
        <v>80461.960000000006</v>
      </c>
      <c r="D17" s="340">
        <v>83378.67</v>
      </c>
      <c r="E17" s="340"/>
      <c r="F17" s="340"/>
      <c r="G17" s="340"/>
      <c r="H17" s="340"/>
      <c r="I17" s="340"/>
      <c r="J17" s="340"/>
      <c r="K17" s="340"/>
      <c r="L17" s="340"/>
      <c r="M17" s="347"/>
      <c r="N17" s="275">
        <f>SUM(B17:M17)</f>
        <v>250699.51</v>
      </c>
    </row>
    <row r="18" spans="1:14" ht="15.6" thickBot="1" x14ac:dyDescent="0.35">
      <c r="A18" s="138"/>
      <c r="B18" s="138"/>
      <c r="C18" s="138"/>
      <c r="D18" s="138"/>
      <c r="E18" s="138"/>
      <c r="F18" s="138"/>
      <c r="G18" s="138"/>
      <c r="H18" s="138"/>
      <c r="I18" s="138"/>
      <c r="J18" s="138"/>
      <c r="K18" s="138"/>
      <c r="L18" s="138"/>
      <c r="M18" s="138"/>
      <c r="N18" s="138"/>
    </row>
    <row r="19" spans="1:14" ht="31.5" customHeight="1" thickBot="1" x14ac:dyDescent="0.35">
      <c r="A19" s="412" t="s">
        <v>233</v>
      </c>
      <c r="B19" s="413"/>
      <c r="C19" s="413"/>
      <c r="D19" s="413"/>
      <c r="E19" s="413"/>
      <c r="F19" s="413"/>
      <c r="G19" s="413"/>
      <c r="H19" s="413"/>
      <c r="I19" s="413"/>
      <c r="J19" s="413"/>
      <c r="K19" s="413"/>
      <c r="L19" s="413"/>
      <c r="M19" s="413"/>
      <c r="N19" s="414"/>
    </row>
    <row r="20" spans="1:14" ht="31.5" customHeight="1" thickBot="1" x14ac:dyDescent="0.35">
      <c r="A20" s="279" t="s">
        <v>114</v>
      </c>
      <c r="B20" s="280" t="s">
        <v>107</v>
      </c>
      <c r="C20" s="280" t="s">
        <v>108</v>
      </c>
      <c r="D20" s="280" t="s">
        <v>109</v>
      </c>
      <c r="E20" s="280" t="s">
        <v>110</v>
      </c>
      <c r="F20" s="280" t="s">
        <v>111</v>
      </c>
      <c r="G20" s="280" t="s">
        <v>112</v>
      </c>
      <c r="H20" s="280" t="s">
        <v>113</v>
      </c>
      <c r="I20" s="280" t="s">
        <v>115</v>
      </c>
      <c r="J20" s="280" t="s">
        <v>116</v>
      </c>
      <c r="K20" s="280" t="s">
        <v>117</v>
      </c>
      <c r="L20" s="280" t="s">
        <v>118</v>
      </c>
      <c r="M20" s="280" t="s">
        <v>119</v>
      </c>
      <c r="N20" s="281" t="s">
        <v>11</v>
      </c>
    </row>
    <row r="21" spans="1:14" ht="31.5" customHeight="1" thickBot="1" x14ac:dyDescent="0.35">
      <c r="A21" s="282">
        <v>2014</v>
      </c>
      <c r="B21" s="276">
        <v>32735.52</v>
      </c>
      <c r="C21" s="269">
        <f>83858.74-4098</f>
        <v>79760.740000000005</v>
      </c>
      <c r="D21" s="269">
        <v>56915.93</v>
      </c>
      <c r="E21" s="269">
        <f>63829.45-7895</f>
        <v>55934.45</v>
      </c>
      <c r="F21" s="269">
        <v>96129.68</v>
      </c>
      <c r="G21" s="269">
        <v>53808.21</v>
      </c>
      <c r="H21" s="269">
        <v>52806.17</v>
      </c>
      <c r="I21" s="269">
        <v>65116.83</v>
      </c>
      <c r="J21" s="269">
        <v>62187.4</v>
      </c>
      <c r="K21" s="269">
        <f>581538.56-520000</f>
        <v>61538.560000000056</v>
      </c>
      <c r="L21" s="269">
        <v>75257.73</v>
      </c>
      <c r="M21" s="270">
        <v>81993.33</v>
      </c>
      <c r="N21" s="274">
        <f>SUM(B21:M21)</f>
        <v>774184.55</v>
      </c>
    </row>
    <row r="22" spans="1:14" ht="31.5" customHeight="1" thickBot="1" x14ac:dyDescent="0.35">
      <c r="A22" s="282">
        <v>2015</v>
      </c>
      <c r="B22" s="277">
        <v>31979.34</v>
      </c>
      <c r="C22" s="129">
        <v>71601.05</v>
      </c>
      <c r="D22" s="129">
        <v>72418.33</v>
      </c>
      <c r="E22" s="129">
        <v>61569.82</v>
      </c>
      <c r="F22" s="129">
        <v>68698.52</v>
      </c>
      <c r="G22" s="129">
        <v>69689.14</v>
      </c>
      <c r="H22" s="129">
        <v>70245.13</v>
      </c>
      <c r="I22" s="129">
        <v>82776.009999999995</v>
      </c>
      <c r="J22" s="129">
        <v>81743.75</v>
      </c>
      <c r="K22" s="129">
        <v>65534.35</v>
      </c>
      <c r="L22" s="129">
        <v>101076.71</v>
      </c>
      <c r="M22" s="267">
        <v>180517.37</v>
      </c>
      <c r="N22" s="275">
        <f>SUM(B22:M22)</f>
        <v>957849.5199999999</v>
      </c>
    </row>
    <row r="23" spans="1:14" ht="28.5" customHeight="1" thickBot="1" x14ac:dyDescent="0.35">
      <c r="A23" s="282">
        <v>2016</v>
      </c>
      <c r="B23" s="278">
        <v>59428.71</v>
      </c>
      <c r="C23" s="265">
        <f>116089.8-28574.35</f>
        <v>87515.450000000012</v>
      </c>
      <c r="D23" s="265">
        <v>84396.03</v>
      </c>
      <c r="E23" s="265">
        <f>105828.97-24062.66</f>
        <v>81766.31</v>
      </c>
      <c r="F23" s="265">
        <f>135107.86-47178.86</f>
        <v>87928.999999999985</v>
      </c>
      <c r="G23" s="265">
        <f>127064.79-48394.74</f>
        <v>78670.049999999988</v>
      </c>
      <c r="H23" s="265">
        <f>146545.87-75380.51</f>
        <v>71165.36</v>
      </c>
      <c r="I23" s="265">
        <v>77502.880000000005</v>
      </c>
      <c r="J23" s="265">
        <v>71176.639999999999</v>
      </c>
      <c r="K23" s="265">
        <v>71650.240000000005</v>
      </c>
      <c r="L23" s="265">
        <f>81314.24-7540</f>
        <v>73774.240000000005</v>
      </c>
      <c r="M23" s="268">
        <v>141843.25</v>
      </c>
      <c r="N23" s="274">
        <f>SUM(B23:M23)</f>
        <v>986818.16</v>
      </c>
    </row>
    <row r="24" spans="1:14" s="74" customFormat="1" ht="28.5" customHeight="1" thickBot="1" x14ac:dyDescent="0.35">
      <c r="A24" s="282" t="s">
        <v>201</v>
      </c>
      <c r="B24" s="344">
        <f>B16</f>
        <v>63635.839999999997</v>
      </c>
      <c r="C24" s="277">
        <f t="shared" ref="C24:L24" si="0">C16</f>
        <v>60109.37</v>
      </c>
      <c r="D24" s="277">
        <f t="shared" si="0"/>
        <v>106306.67</v>
      </c>
      <c r="E24" s="277">
        <f>E16-3700</f>
        <v>74534.490000000005</v>
      </c>
      <c r="F24" s="277">
        <f>F16-1400</f>
        <v>84520.89</v>
      </c>
      <c r="G24" s="277">
        <f t="shared" si="0"/>
        <v>80731.3</v>
      </c>
      <c r="H24" s="277">
        <f t="shared" si="0"/>
        <v>84261.4</v>
      </c>
      <c r="I24" s="277">
        <f t="shared" si="0"/>
        <v>93248.36</v>
      </c>
      <c r="J24" s="277">
        <f t="shared" si="0"/>
        <v>73346.490000000005</v>
      </c>
      <c r="K24" s="277">
        <f t="shared" si="0"/>
        <v>77036.679999999993</v>
      </c>
      <c r="L24" s="277">
        <f t="shared" si="0"/>
        <v>104831.23</v>
      </c>
      <c r="M24" s="365">
        <f>M16-7200</f>
        <v>140355</v>
      </c>
      <c r="N24" s="348">
        <f>SUM(B24:M24)</f>
        <v>1042917.72</v>
      </c>
    </row>
    <row r="25" spans="1:14" s="74" customFormat="1" ht="28.5" customHeight="1" thickBot="1" x14ac:dyDescent="0.35">
      <c r="A25" s="282" t="s">
        <v>232</v>
      </c>
      <c r="B25" s="362">
        <v>86858.880000000005</v>
      </c>
      <c r="C25" s="340">
        <v>80461.960000000006</v>
      </c>
      <c r="D25" s="364">
        <v>83378.67</v>
      </c>
      <c r="E25" s="363"/>
      <c r="F25" s="363"/>
      <c r="G25" s="363"/>
      <c r="H25" s="363"/>
      <c r="I25" s="363"/>
      <c r="J25" s="363"/>
      <c r="K25" s="363"/>
      <c r="L25" s="363"/>
      <c r="M25" s="363"/>
      <c r="N25" s="275">
        <f>SUM(B25:M25)</f>
        <v>250699.51</v>
      </c>
    </row>
    <row r="26" spans="1:14" x14ac:dyDescent="0.3">
      <c r="A26" s="138"/>
      <c r="B26" s="138"/>
      <c r="C26" s="138"/>
      <c r="D26" s="138"/>
      <c r="E26" s="138"/>
      <c r="F26" s="138"/>
      <c r="G26" s="138"/>
      <c r="H26" s="138"/>
      <c r="I26" s="138"/>
      <c r="J26" s="138"/>
      <c r="K26" s="138"/>
      <c r="L26" s="138"/>
      <c r="M26" s="138"/>
      <c r="N26" s="138"/>
    </row>
    <row r="27" spans="1:14" x14ac:dyDescent="0.3">
      <c r="A27" s="138"/>
      <c r="B27" s="138"/>
      <c r="C27" s="138"/>
      <c r="D27" s="139"/>
      <c r="E27" s="138"/>
      <c r="F27" s="138"/>
      <c r="G27" s="138"/>
      <c r="H27" s="139"/>
      <c r="I27" s="139"/>
      <c r="J27" s="138"/>
      <c r="K27" s="139"/>
      <c r="L27" s="139"/>
      <c r="M27" s="139"/>
      <c r="N27" s="138"/>
    </row>
    <row r="28" spans="1:14" x14ac:dyDescent="0.3">
      <c r="A28" s="138"/>
      <c r="B28" s="138"/>
      <c r="C28" s="138"/>
      <c r="D28" s="138"/>
      <c r="E28" s="138"/>
      <c r="F28" s="138"/>
      <c r="G28" s="138"/>
      <c r="H28" s="138"/>
      <c r="I28" s="138"/>
      <c r="J28" s="138"/>
      <c r="K28" s="138"/>
      <c r="L28" s="138"/>
      <c r="M28" s="138"/>
      <c r="N28" s="138"/>
    </row>
    <row r="29" spans="1:14" x14ac:dyDescent="0.3">
      <c r="A29" s="138"/>
      <c r="B29" s="138"/>
      <c r="C29" s="138"/>
      <c r="D29" s="138"/>
      <c r="E29" s="138"/>
      <c r="F29" s="138"/>
      <c r="G29" s="138"/>
      <c r="H29" s="138"/>
      <c r="I29" s="138"/>
      <c r="J29" s="138"/>
      <c r="K29" s="138"/>
      <c r="L29" s="138"/>
      <c r="M29" s="138"/>
      <c r="N29" s="138"/>
    </row>
  </sheetData>
  <mergeCells count="8">
    <mergeCell ref="A19:N19"/>
    <mergeCell ref="A11:N11"/>
    <mergeCell ref="A6:N6"/>
    <mergeCell ref="A7:N7"/>
    <mergeCell ref="A8:N8"/>
    <mergeCell ref="A9:N9"/>
    <mergeCell ref="A10:G10"/>
    <mergeCell ref="I10:N10"/>
  </mergeCells>
  <pageMargins left="0.51181102362204722" right="0.51181102362204722" top="0.78740157480314965" bottom="0.78740157480314965" header="0.31496062992125984" footer="0.31496062992125984"/>
  <pageSetup paperSize="9" scale="53"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4"/>
  <sheetViews>
    <sheetView showGridLines="0" view="pageBreakPreview" zoomScaleSheetLayoutView="100" workbookViewId="0">
      <selection activeCell="D12" sqref="D12:E12"/>
    </sheetView>
  </sheetViews>
  <sheetFormatPr defaultColWidth="9.109375" defaultRowHeight="15.6" x14ac:dyDescent="0.3"/>
  <cols>
    <col min="1" max="1" width="25.6640625" style="68" customWidth="1"/>
    <col min="2" max="4" width="13.33203125" style="69" customWidth="1"/>
    <col min="5" max="8" width="13.33203125" style="68" customWidth="1"/>
    <col min="9" max="10" width="9.109375" style="68"/>
    <col min="11" max="11" width="11.5546875" style="68" bestFit="1" customWidth="1"/>
    <col min="12" max="16384" width="9.109375" style="68"/>
  </cols>
  <sheetData>
    <row r="1" spans="1:14" s="76" customFormat="1" ht="21" x14ac:dyDescent="0.4">
      <c r="G1" s="77"/>
      <c r="H1" s="78"/>
    </row>
    <row r="2" spans="1:14" s="76" customFormat="1" ht="21" x14ac:dyDescent="0.4">
      <c r="G2" s="77"/>
      <c r="H2" s="78"/>
    </row>
    <row r="3" spans="1:14" s="76" customFormat="1" ht="21" x14ac:dyDescent="0.4">
      <c r="G3" s="77"/>
      <c r="H3" s="78"/>
    </row>
    <row r="4" spans="1:14" s="76" customFormat="1" ht="21" x14ac:dyDescent="0.4">
      <c r="G4" s="77"/>
      <c r="H4" s="78"/>
    </row>
    <row r="5" spans="1:14" s="76" customFormat="1" ht="21" x14ac:dyDescent="0.4">
      <c r="G5" s="77"/>
      <c r="H5" s="78"/>
    </row>
    <row r="6" spans="1:14" s="79" customFormat="1" ht="21" customHeight="1" x14ac:dyDescent="0.4">
      <c r="A6" s="407" t="str">
        <f>'Dem Fontes e Usos'!A6:G6</f>
        <v>Relatório Mensal – Exercício 2018</v>
      </c>
      <c r="B6" s="385"/>
      <c r="C6" s="385"/>
      <c r="D6" s="385"/>
      <c r="E6" s="385"/>
      <c r="F6" s="385"/>
      <c r="G6" s="385"/>
      <c r="H6" s="385"/>
      <c r="I6" s="76"/>
      <c r="J6" s="76"/>
      <c r="K6" s="316"/>
      <c r="L6" s="76"/>
      <c r="M6" s="76"/>
      <c r="N6" s="76"/>
    </row>
    <row r="7" spans="1:14" s="79" customFormat="1" ht="21" x14ac:dyDescent="0.4">
      <c r="A7" s="411" t="str">
        <f>'Dem Fontes e Usos'!A7:G7</f>
        <v>RESPONSÁVEL PELA ELABORAÇÃO:  José Rodrigo Lopes - Gerente Adm e Financeiro</v>
      </c>
      <c r="B7" s="386"/>
      <c r="C7" s="386"/>
      <c r="D7" s="386"/>
      <c r="E7" s="386"/>
      <c r="F7" s="386"/>
      <c r="G7" s="386"/>
      <c r="H7" s="386"/>
      <c r="I7" s="76"/>
      <c r="J7" s="76"/>
      <c r="K7" s="76"/>
      <c r="L7" s="76"/>
      <c r="M7" s="76"/>
      <c r="N7" s="76"/>
    </row>
    <row r="8" spans="1:14" s="79" customFormat="1" ht="21" customHeight="1" x14ac:dyDescent="0.4">
      <c r="A8" s="411" t="str">
        <f>'Dem Fontes e Usos'!A8:G8</f>
        <v>DATA DE ELABORAÇÃO:  11/04/2018</v>
      </c>
      <c r="B8" s="386"/>
      <c r="C8" s="386"/>
      <c r="D8" s="386"/>
      <c r="E8" s="386"/>
      <c r="F8" s="386"/>
      <c r="G8" s="386"/>
      <c r="H8" s="386"/>
      <c r="I8" s="76"/>
      <c r="J8" s="76"/>
      <c r="K8" s="76"/>
      <c r="L8" s="76"/>
      <c r="M8" s="76"/>
      <c r="N8" s="76"/>
    </row>
    <row r="9" spans="1:14" s="79" customFormat="1" ht="21" customHeight="1" x14ac:dyDescent="0.4">
      <c r="A9" s="411" t="str">
        <f>'Dem Fontes e Usos'!A9:G9</f>
        <v>Período: 02/01/2018 a 31/03/2018</v>
      </c>
      <c r="B9" s="386"/>
      <c r="C9" s="386"/>
      <c r="D9" s="386"/>
      <c r="E9" s="386"/>
      <c r="F9" s="386"/>
      <c r="G9" s="386"/>
      <c r="H9" s="386"/>
      <c r="I9" s="76"/>
      <c r="J9" s="76"/>
      <c r="K9" s="76"/>
      <c r="L9" s="76"/>
      <c r="M9" s="76"/>
      <c r="N9" s="76"/>
    </row>
    <row r="10" spans="1:14" s="79" customFormat="1" ht="21" customHeight="1" x14ac:dyDescent="0.4">
      <c r="A10" s="387" t="s">
        <v>128</v>
      </c>
      <c r="B10" s="387"/>
      <c r="C10" s="387"/>
      <c r="D10" s="387"/>
      <c r="E10" s="387"/>
      <c r="F10" s="387"/>
      <c r="G10" s="387"/>
      <c r="H10" s="387"/>
      <c r="I10" s="76"/>
      <c r="J10" s="76"/>
      <c r="K10" s="76"/>
      <c r="L10" s="76"/>
      <c r="M10" s="76"/>
      <c r="N10" s="76"/>
    </row>
    <row r="11" spans="1:14" ht="33" customHeight="1" x14ac:dyDescent="0.3">
      <c r="A11" s="130"/>
      <c r="B11" s="415" t="s">
        <v>249</v>
      </c>
      <c r="C11" s="415"/>
      <c r="D11" s="415" t="s">
        <v>250</v>
      </c>
      <c r="E11" s="415"/>
      <c r="F11" s="415" t="s">
        <v>101</v>
      </c>
      <c r="G11" s="415"/>
      <c r="H11" s="134" t="s">
        <v>106</v>
      </c>
    </row>
    <row r="12" spans="1:14" ht="28.5" customHeight="1" x14ac:dyDescent="0.3">
      <c r="A12" s="131" t="s">
        <v>124</v>
      </c>
      <c r="B12" s="416">
        <f>SUM('Receita Mês X Mês'!B16:D16)</f>
        <v>380574.87</v>
      </c>
      <c r="C12" s="416"/>
      <c r="D12" s="416">
        <f>SUM('Receita Mês X Mês'!B17:D17)</f>
        <v>394804.16000000003</v>
      </c>
      <c r="E12" s="416"/>
      <c r="F12" s="418">
        <f>D12-B12</f>
        <v>14229.290000000037</v>
      </c>
      <c r="G12" s="418"/>
      <c r="H12" s="132">
        <f>D12/B12</f>
        <v>1.0373889374251117</v>
      </c>
    </row>
    <row r="13" spans="1:14" ht="28.5" customHeight="1" x14ac:dyDescent="0.3">
      <c r="A13" s="131" t="s">
        <v>125</v>
      </c>
      <c r="B13" s="416">
        <f>SUM('Despesas Mês X Mês'!B24:D24)</f>
        <v>230051.88</v>
      </c>
      <c r="C13" s="416"/>
      <c r="D13" s="416">
        <f>SUM('Despesas Mês X Mês'!B25:D25)</f>
        <v>250699.51</v>
      </c>
      <c r="E13" s="416"/>
      <c r="F13" s="419">
        <f>D13-B13</f>
        <v>20647.630000000005</v>
      </c>
      <c r="G13" s="419"/>
      <c r="H13" s="132">
        <f>D13/B13</f>
        <v>1.0897520594050352</v>
      </c>
    </row>
    <row r="14" spans="1:14" ht="36" customHeight="1" x14ac:dyDescent="0.3">
      <c r="A14" s="134" t="s">
        <v>126</v>
      </c>
      <c r="B14" s="417">
        <f>B12-B13</f>
        <v>150522.99</v>
      </c>
      <c r="C14" s="417"/>
      <c r="D14" s="417">
        <f>D12-D13</f>
        <v>144104.65000000002</v>
      </c>
      <c r="E14" s="417"/>
      <c r="F14" s="420">
        <f>D14-B14</f>
        <v>-6418.3399999999674</v>
      </c>
      <c r="G14" s="420"/>
      <c r="H14" s="133">
        <f>D14/B14</f>
        <v>0.95735973621039572</v>
      </c>
    </row>
  </sheetData>
  <mergeCells count="17">
    <mergeCell ref="A6:H6"/>
    <mergeCell ref="A7:H7"/>
    <mergeCell ref="A8:H8"/>
    <mergeCell ref="A9:H9"/>
    <mergeCell ref="A10:H10"/>
    <mergeCell ref="B11:C11"/>
    <mergeCell ref="B12:C12"/>
    <mergeCell ref="B13:C13"/>
    <mergeCell ref="B14:C14"/>
    <mergeCell ref="F12:G12"/>
    <mergeCell ref="F13:G13"/>
    <mergeCell ref="F14:G14"/>
    <mergeCell ref="D11:E11"/>
    <mergeCell ref="D12:E12"/>
    <mergeCell ref="D13:E13"/>
    <mergeCell ref="D14:E14"/>
    <mergeCell ref="F11:G11"/>
  </mergeCells>
  <pageMargins left="0.51181102362204722" right="0.51181102362204722" top="0.78740157480314965" bottom="0.78740157480314965" header="0.31496062992125984" footer="0.31496062992125984"/>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12</vt:i4>
      </vt:variant>
      <vt:variant>
        <vt:lpstr>Intervalos nomeados</vt:lpstr>
      </vt:variant>
      <vt:variant>
        <vt:i4>9</vt:i4>
      </vt:variant>
    </vt:vector>
  </HeadingPairs>
  <TitlesOfParts>
    <vt:vector size="21" baseType="lpstr">
      <vt:lpstr>Capa</vt:lpstr>
      <vt:lpstr>Dem Fontes e Usos</vt:lpstr>
      <vt:lpstr>2. Exec Plano de Ação</vt:lpstr>
      <vt:lpstr>3. Exec Orçamentária</vt:lpstr>
      <vt:lpstr>AnoXAno</vt:lpstr>
      <vt:lpstr>Exec Orçamentária</vt:lpstr>
      <vt:lpstr>Receita Mês X Mês</vt:lpstr>
      <vt:lpstr>Despesas Mês X Mês</vt:lpstr>
      <vt:lpstr>Receita X Despesa</vt:lpstr>
      <vt:lpstr>Limites Estratéicos</vt:lpstr>
      <vt:lpstr>DESPESAS MENSAIS C. MOV.</vt:lpstr>
      <vt:lpstr>Parecer Comissão </vt:lpstr>
      <vt:lpstr>Capa!Area_de_impressao</vt:lpstr>
      <vt:lpstr>'Dem Fontes e Usos'!Area_de_impressao</vt:lpstr>
      <vt:lpstr>'DESPESAS MENSAIS C. MOV.'!Area_de_impressao</vt:lpstr>
      <vt:lpstr>'Despesas Mês X Mês'!Area_de_impressao</vt:lpstr>
      <vt:lpstr>'Exec Orçamentária'!Area_de_impressao</vt:lpstr>
      <vt:lpstr>'Limites Estratéicos'!Area_de_impressao</vt:lpstr>
      <vt:lpstr>'Parecer Comissão '!Area_de_impressao</vt:lpstr>
      <vt:lpstr>'Receita Mês X Mês'!Area_de_impressao</vt:lpstr>
      <vt:lpstr>'Receita X Despesa'!Area_de_impressao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Rodrigo</cp:lastModifiedBy>
  <cp:lastPrinted>2018-05-17T20:44:19Z</cp:lastPrinted>
  <dcterms:created xsi:type="dcterms:W3CDTF">2013-07-08T17:53:54Z</dcterms:created>
  <dcterms:modified xsi:type="dcterms:W3CDTF">2018-05-17T20:44:39Z</dcterms:modified>
</cp:coreProperties>
</file>