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0730" windowHeight="10635" tabRatio="806" activeTab="9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</sheets>
  <externalReferences>
    <externalReference r:id="rId11"/>
  </externalReferences>
  <definedNames>
    <definedName name="_xlnm._FilterDatabase" localSheetId="3" hidden="1">'3. Exec Orçamentária'!$B$11:$M$33</definedName>
    <definedName name="_xlnm._FilterDatabase" localSheetId="5" hidden="1">'Exec Orçamentária'!$A$11:$H$31</definedName>
    <definedName name="_xlnm.Print_Area" localSheetId="1">'Dem Fontes e Usos'!$A$1:$G$40</definedName>
    <definedName name="_xlnm.Print_Area" localSheetId="7">'Despesas Mês X Mês'!$A$1:$N$21</definedName>
    <definedName name="_xlnm.Print_Area" localSheetId="5">'Exec Orçamentária'!$A$1:$H$34</definedName>
    <definedName name="_xlnm.Print_Area" localSheetId="9">'Limites Estratéicos'!$A$1:$M$33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L21" i="13" l="1"/>
  <c r="L21" i="15"/>
  <c r="E24" i="2" l="1"/>
  <c r="D24" i="2"/>
  <c r="C18" i="2"/>
  <c r="C18" i="12" l="1"/>
  <c r="B13" i="10"/>
  <c r="B12" i="10"/>
  <c r="D13" i="10"/>
  <c r="D12" i="10"/>
  <c r="C24" i="2" l="1"/>
  <c r="C37" i="2" l="1"/>
  <c r="C36" i="2"/>
  <c r="C34" i="2"/>
  <c r="A8" i="16"/>
  <c r="A9" i="16"/>
  <c r="A7" i="16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A7" i="12"/>
  <c r="E25" i="16"/>
  <c r="E23" i="16"/>
  <c r="E21" i="16" l="1"/>
  <c r="N15" i="15" l="1"/>
  <c r="J21" i="15"/>
  <c r="E17" i="16" l="1"/>
  <c r="E16" i="16"/>
  <c r="E14" i="16"/>
  <c r="D17" i="16"/>
  <c r="D16" i="16"/>
  <c r="D14" i="16"/>
  <c r="D21" i="9"/>
  <c r="D24" i="9"/>
  <c r="D26" i="9"/>
  <c r="D31" i="16" l="1"/>
  <c r="F27" i="16"/>
  <c r="F25" i="16"/>
  <c r="L24" i="16"/>
  <c r="K24" i="16"/>
  <c r="M23" i="16"/>
  <c r="F23" i="16"/>
  <c r="L21" i="16"/>
  <c r="K21" i="16"/>
  <c r="F21" i="16"/>
  <c r="F17" i="16"/>
  <c r="F16" i="16"/>
  <c r="M14" i="16"/>
  <c r="F14" i="16"/>
  <c r="M13" i="16"/>
  <c r="M24" i="16" l="1"/>
  <c r="M21" i="16"/>
  <c r="F31" i="16"/>
  <c r="D23" i="12"/>
  <c r="C20" i="15" l="1"/>
  <c r="M19" i="15"/>
  <c r="K19" i="15"/>
  <c r="I19" i="15"/>
  <c r="H19" i="15"/>
  <c r="F19" i="15"/>
  <c r="E19" i="15"/>
  <c r="C19" i="15"/>
  <c r="N14" i="15"/>
  <c r="N13" i="15"/>
  <c r="I21" i="15" l="1"/>
  <c r="N21" i="15" s="1"/>
  <c r="N20" i="15"/>
  <c r="N19" i="15"/>
  <c r="F16" i="12" l="1"/>
  <c r="F17" i="12"/>
  <c r="F19" i="12"/>
  <c r="F20" i="12"/>
  <c r="F21" i="12"/>
  <c r="F23" i="12"/>
  <c r="F24" i="12"/>
  <c r="F18" i="12"/>
  <c r="E19" i="13" l="1"/>
  <c r="C19" i="13"/>
  <c r="K19" i="13"/>
  <c r="H21" i="13"/>
  <c r="G21" i="13"/>
  <c r="F21" i="13"/>
  <c r="E21" i="13"/>
  <c r="C21" i="13"/>
  <c r="N20" i="13"/>
  <c r="N15" i="13"/>
  <c r="N14" i="13"/>
  <c r="N13" i="13"/>
  <c r="N19" i="13" l="1"/>
  <c r="N21" i="13"/>
  <c r="H13" i="10"/>
  <c r="F25" i="12"/>
  <c r="C25" i="12"/>
  <c r="E15" i="12"/>
  <c r="E14" i="12" s="1"/>
  <c r="E25" i="12"/>
  <c r="E22" i="12"/>
  <c r="B25" i="12"/>
  <c r="B22" i="12"/>
  <c r="B15" i="12"/>
  <c r="B14" i="12" s="1"/>
  <c r="D21" i="12"/>
  <c r="E13" i="12" l="1"/>
  <c r="E27" i="12" s="1"/>
  <c r="B13" i="12"/>
  <c r="B27" i="12" s="1"/>
  <c r="G26" i="12"/>
  <c r="D26" i="12"/>
  <c r="G25" i="12"/>
  <c r="D25" i="12"/>
  <c r="H24" i="12"/>
  <c r="D24" i="12"/>
  <c r="G23" i="12"/>
  <c r="C22" i="12"/>
  <c r="D22" i="12" s="1"/>
  <c r="H21" i="12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G24" i="12"/>
  <c r="H16" i="12"/>
  <c r="H17" i="12"/>
  <c r="H23" i="12"/>
  <c r="H25" i="12"/>
  <c r="H26" i="12"/>
  <c r="C13" i="12" l="1"/>
  <c r="B15" i="2"/>
  <c r="B14" i="2" s="1"/>
  <c r="D13" i="16" s="1"/>
  <c r="D15" i="16" s="1"/>
  <c r="D18" i="16" s="1"/>
  <c r="D16" i="2"/>
  <c r="F16" i="2"/>
  <c r="D17" i="2"/>
  <c r="F17" i="2"/>
  <c r="C15" i="2"/>
  <c r="F15" i="12" s="1"/>
  <c r="D18" i="2"/>
  <c r="F18" i="2"/>
  <c r="F19" i="2"/>
  <c r="D20" i="2"/>
  <c r="F20" i="2"/>
  <c r="D21" i="2"/>
  <c r="F21" i="2"/>
  <c r="B22" i="2"/>
  <c r="C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B29" i="2" l="1"/>
  <c r="D30" i="16"/>
  <c r="D28" i="16"/>
  <c r="D22" i="16"/>
  <c r="D32" i="16"/>
  <c r="D24" i="16"/>
  <c r="D26" i="16"/>
  <c r="F33" i="2"/>
  <c r="D33" i="2"/>
  <c r="D25" i="2"/>
  <c r="F22" i="2"/>
  <c r="D22" i="2"/>
  <c r="F22" i="12"/>
  <c r="B13" i="2"/>
  <c r="G15" i="12"/>
  <c r="H15" i="12"/>
  <c r="D13" i="12"/>
  <c r="H12" i="10"/>
  <c r="C27" i="12"/>
  <c r="F15" i="2"/>
  <c r="F14" i="2" s="1"/>
  <c r="F13" i="2" s="1"/>
  <c r="F27" i="2" s="1"/>
  <c r="C14" i="2"/>
  <c r="D15" i="2"/>
  <c r="B27" i="2" l="1"/>
  <c r="K15" i="16"/>
  <c r="K22" i="16" s="1"/>
  <c r="E13" i="16"/>
  <c r="F14" i="12"/>
  <c r="G14" i="12" s="1"/>
  <c r="G22" i="12"/>
  <c r="H22" i="12"/>
  <c r="D27" i="12"/>
  <c r="C13" i="2"/>
  <c r="F13" i="12" s="1"/>
  <c r="D14" i="2"/>
  <c r="H14" i="12" l="1"/>
  <c r="G13" i="12"/>
  <c r="L15" i="16"/>
  <c r="E15" i="16"/>
  <c r="F13" i="16"/>
  <c r="F27" i="12"/>
  <c r="D13" i="2"/>
  <c r="C27" i="2"/>
  <c r="H13" i="12" l="1"/>
  <c r="M15" i="16"/>
  <c r="L22" i="16"/>
  <c r="M22" i="16" s="1"/>
  <c r="F15" i="16"/>
  <c r="E18" i="16"/>
  <c r="G27" i="12"/>
  <c r="H27" i="12"/>
  <c r="E17" i="2"/>
  <c r="E18" i="2"/>
  <c r="E19" i="2"/>
  <c r="E21" i="2"/>
  <c r="E23" i="2"/>
  <c r="E26" i="2"/>
  <c r="E25" i="2" s="1"/>
  <c r="D27" i="2"/>
  <c r="E16" i="2"/>
  <c r="E20" i="2"/>
  <c r="E26" i="16" l="1"/>
  <c r="F26" i="16" s="1"/>
  <c r="E24" i="16"/>
  <c r="F24" i="16" s="1"/>
  <c r="F18" i="16"/>
  <c r="E28" i="16"/>
  <c r="F28" i="16" s="1"/>
  <c r="E32" i="16"/>
  <c r="F32" i="16" s="1"/>
  <c r="E22" i="16"/>
  <c r="F22" i="16" s="1"/>
  <c r="E15" i="2"/>
  <c r="E14" i="2" s="1"/>
  <c r="E22" i="2"/>
  <c r="E13" i="2" l="1"/>
  <c r="E27" i="2" s="1"/>
  <c r="B14" i="10"/>
  <c r="F13" i="9" l="1"/>
  <c r="F14" i="9"/>
  <c r="F15" i="9"/>
  <c r="F16" i="9"/>
  <c r="F17" i="9"/>
  <c r="F18" i="9"/>
  <c r="C32" i="2" s="1"/>
  <c r="F27" i="9"/>
  <c r="F28" i="9"/>
  <c r="F12" i="9"/>
  <c r="F32" i="2" l="1"/>
  <c r="D32" i="2"/>
  <c r="C31" i="2"/>
  <c r="E29" i="16"/>
  <c r="F31" i="9"/>
  <c r="G30" i="9"/>
  <c r="D31" i="9"/>
  <c r="F29" i="9"/>
  <c r="D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C30" i="2" l="1"/>
  <c r="D31" i="2"/>
  <c r="F31" i="2"/>
  <c r="F30" i="2" s="1"/>
  <c r="F29" i="2" s="1"/>
  <c r="F29" i="16"/>
  <c r="E30" i="16"/>
  <c r="F30" i="16" s="1"/>
  <c r="F13" i="10"/>
  <c r="H31" i="9"/>
  <c r="E30" i="9"/>
  <c r="H30" i="9"/>
  <c r="F33" i="9"/>
  <c r="H29" i="9"/>
  <c r="E13" i="9"/>
  <c r="H14" i="9"/>
  <c r="H16" i="9"/>
  <c r="H18" i="9"/>
  <c r="H20" i="9"/>
  <c r="H22" i="9"/>
  <c r="H24" i="9"/>
  <c r="H26" i="9"/>
  <c r="H28" i="9"/>
  <c r="H13" i="9"/>
  <c r="H15" i="9"/>
  <c r="H17" i="9"/>
  <c r="H19" i="9"/>
  <c r="H21" i="9"/>
  <c r="H23" i="9"/>
  <c r="H25" i="9"/>
  <c r="H27" i="9"/>
  <c r="H12" i="9"/>
  <c r="E26" i="9"/>
  <c r="E22" i="9"/>
  <c r="E18" i="9"/>
  <c r="E14" i="9"/>
  <c r="E12" i="9"/>
  <c r="E28" i="9"/>
  <c r="E24" i="9"/>
  <c r="E20" i="9"/>
  <c r="E16" i="9"/>
  <c r="D33" i="9"/>
  <c r="E33" i="9" s="1"/>
  <c r="E29" i="9"/>
  <c r="E27" i="9"/>
  <c r="E25" i="9"/>
  <c r="E23" i="9"/>
  <c r="E21" i="9"/>
  <c r="E19" i="9"/>
  <c r="E17" i="9"/>
  <c r="E15" i="9"/>
  <c r="E31" i="9"/>
  <c r="G29" i="9"/>
  <c r="G31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A13" i="9" s="1"/>
  <c r="C15" i="1"/>
  <c r="B13" i="9" s="1"/>
  <c r="B16" i="1"/>
  <c r="A14" i="9" s="1"/>
  <c r="C16" i="1"/>
  <c r="B14" i="9" s="1"/>
  <c r="B17" i="1"/>
  <c r="A15" i="9" s="1"/>
  <c r="C17" i="1"/>
  <c r="B15" i="9" s="1"/>
  <c r="B18" i="1"/>
  <c r="A16" i="9" s="1"/>
  <c r="C18" i="1"/>
  <c r="B16" i="9" s="1"/>
  <c r="B19" i="1"/>
  <c r="A17" i="9" s="1"/>
  <c r="C19" i="1"/>
  <c r="B17" i="9" s="1"/>
  <c r="B20" i="1"/>
  <c r="A18" i="9" s="1"/>
  <c r="C20" i="1"/>
  <c r="B18" i="9" s="1"/>
  <c r="B21" i="1"/>
  <c r="A19" i="9" s="1"/>
  <c r="C21" i="1"/>
  <c r="B19" i="9" s="1"/>
  <c r="B22" i="1"/>
  <c r="A20" i="9" s="1"/>
  <c r="C22" i="1"/>
  <c r="B20" i="9" s="1"/>
  <c r="B23" i="1"/>
  <c r="A21" i="9" s="1"/>
  <c r="C23" i="1"/>
  <c r="B21" i="9" s="1"/>
  <c r="B24" i="1"/>
  <c r="A22" i="9" s="1"/>
  <c r="C24" i="1"/>
  <c r="B22" i="9" s="1"/>
  <c r="B25" i="1"/>
  <c r="A23" i="9" s="1"/>
  <c r="C25" i="1"/>
  <c r="B23" i="9" s="1"/>
  <c r="B26" i="1"/>
  <c r="A24" i="9" s="1"/>
  <c r="C26" i="1"/>
  <c r="B24" i="9" s="1"/>
  <c r="B27" i="1"/>
  <c r="A25" i="9" s="1"/>
  <c r="C27" i="1"/>
  <c r="B25" i="9" s="1"/>
  <c r="B28" i="1"/>
  <c r="A26" i="9" s="1"/>
  <c r="C28" i="1"/>
  <c r="B26" i="9" s="1"/>
  <c r="B29" i="1"/>
  <c r="A27" i="9" s="1"/>
  <c r="C29" i="1"/>
  <c r="B27" i="9" s="1"/>
  <c r="B30" i="1"/>
  <c r="A28" i="9" s="1"/>
  <c r="C30" i="1"/>
  <c r="B28" i="9" s="1"/>
  <c r="B31" i="1"/>
  <c r="A30" i="9" s="1"/>
  <c r="C31" i="1"/>
  <c r="B30" i="9" s="1"/>
  <c r="C14" i="1"/>
  <c r="B12" i="9" s="1"/>
  <c r="B14" i="1"/>
  <c r="A12" i="9" s="1"/>
  <c r="C29" i="2" l="1"/>
  <c r="D30" i="2"/>
  <c r="G33" i="9"/>
  <c r="H33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39" i="2" l="1"/>
  <c r="B8" i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F12" i="10"/>
  <c r="C40" i="2"/>
  <c r="E39" i="2"/>
  <c r="F39" i="2"/>
  <c r="F40" i="2" s="1"/>
  <c r="K32" i="1"/>
  <c r="F14" i="10" l="1"/>
  <c r="H14" i="10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charset val="1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charset val="1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 xml:space="preserve">Fundo de Apoio - 
R$ </t>
        </r>
      </text>
    </comment>
    <comment ref="C19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9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9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Segoe UI"/>
            <family val="2"/>
          </rPr>
          <t>Informar o valor da transposição efetivada na Reserva de Contingência.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<sst xmlns="http://schemas.openxmlformats.org/spreadsheetml/2006/main" count="349" uniqueCount="183">
  <si>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</si>
  <si>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</si>
  <si>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</si>
  <si>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</si>
  <si>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</si>
  <si>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</si>
  <si>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</si>
  <si>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</si>
  <si>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</si>
  <si>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</si>
  <si>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</si>
  <si>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</si>
  <si>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</si>
  <si>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</si>
  <si>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</si>
  <si>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</si>
  <si>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</si>
  <si>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</si>
  <si>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</si>
  <si>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</si>
  <si>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</si>
  <si>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</si>
  <si>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</si>
  <si>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</si>
  <si>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</si>
  <si>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</si>
  <si>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</si>
  <si>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</si>
  <si>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</si>
  <si>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</si>
  <si>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</si>
  <si>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</si>
  <si>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</si>
  <si>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</si>
  <si>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</si>
  <si>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</si>
  <si>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</si>
  <si>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</si>
  <si>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</si>
  <si>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</si>
  <si>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</si>
  <si>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</si>
  <si>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</si>
  <si>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</si>
  <si>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</si>
  <si>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</si>
  <si>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</si>
  <si>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</si>
  <si>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</si>
  <si>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</si>
  <si>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</si>
  <si>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</si>
  <si>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</si>
  <si>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</si>
  <si>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</si>
  <si>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</si>
  <si>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</si>
  <si>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</si>
  <si>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</si>
  <si>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</si>
  <si>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</si>
  <si>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</si>
  <si>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</si>
  <si>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</si>
  <si>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</si>
  <si>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</si>
  <si>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</si>
  <si>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</si>
  <si>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</si>
  <si>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</si>
  <si>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</si>
  <si>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</si>
  <si>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</si>
  <si>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</si>
  <si>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</si>
  <si>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</si>
  <si>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</si>
  <si>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</si>
  <si>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</si>
  <si>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</si>
  <si>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</si>
  <si>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</si>
  <si>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</si>
  <si>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</si>
  <si>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</si>
  <si>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</si>
  <si>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</si>
  <si>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</si>
  <si>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</si>
  <si>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</si>
  <si>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</si>
  <si>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</si>
  <si>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</si>
  <si>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</si>
  <si>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</si>
  <si>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</si>
  <si>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</si>
  <si>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</si>
  <si>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Orçamento 
Aprovado 2015</t>
  </si>
  <si>
    <t>%</t>
  </si>
  <si>
    <t>Orçamento 
Aprovado 2016</t>
  </si>
  <si>
    <t>Justificativas
(quando o % de realização for inferior ou superior a 20%)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</si>
  <si>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</si>
  <si>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</si>
  <si>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</si>
  <si>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</si>
  <si>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</si>
  <si>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</si>
  <si>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</si>
  <si>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</si>
  <si>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</si>
  <si>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</si>
  <si>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</si>
  <si>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</si>
  <si>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</si>
  <si>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</si>
  <si>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</si>
  <si>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</si>
  <si>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</si>
  <si>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>Relatório Mensal – Exercício 2016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</si>
  <si>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Rodrio Lopes - Gerente Administrativo/Financeiro</t>
    </r>
  </si>
  <si>
    <t>% Ano/
Ano</t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</si>
  <si>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</si>
  <si>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</si>
  <si>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</si>
  <si>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</si>
  <si>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</si>
  <si>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</si>
  <si>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</si>
  <si>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</si>
  <si>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</si>
  <si>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</si>
  <si>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Orçamento Aprovado
2016</t>
  </si>
  <si>
    <t>Realizado
2016</t>
  </si>
  <si>
    <t>1.2. Comparativo exercício anterior x atual (2015 x 2016)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</si>
  <si>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</si>
  <si>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</si>
  <si>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</si>
  <si>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</si>
  <si>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</si>
  <si>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</si>
  <si>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</si>
  <si>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</si>
  <si>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</si>
  <si>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</si>
  <si>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</si>
  <si>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</si>
  <si>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</si>
  <si>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</si>
  <si>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</si>
  <si>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</si>
  <si>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</si>
  <si>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</si>
  <si>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</si>
  <si>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</si>
  <si>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</si>
  <si>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</si>
  <si>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</si>
  <si>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</si>
  <si>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</si>
  <si>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</si>
  <si>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</si>
  <si>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</si>
  <si>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</si>
  <si>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</si>
  <si>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</si>
  <si>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</si>
  <si>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</si>
  <si>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</si>
  <si>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Planejamento e redesenho dos processos do CAU/AL</t>
  </si>
  <si>
    <t>1.7. LIMITES DE APLICAÇÃO DOS RECURSOS ESTRATÉGICOS:</t>
  </si>
  <si>
    <t>Receita mensal - Janeiro a Setembro</t>
  </si>
  <si>
    <t>Receita mensal - Janeiro a Setmbro - Sem aporte CAU/BR (Fundo de apoio)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</si>
  <si>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</si>
  <si>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</si>
  <si>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</si>
  <si>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r>
      <t xml:space="preserve">Período: </t>
    </r>
    <r>
      <rPr>
        <sz val="16"/>
        <color theme="1"/>
        <rFont val="Calibri"/>
        <family val="2"/>
        <scheme val="minor"/>
      </rPr>
      <t>Jan/Nov 2016 (acumulado)</t>
    </r>
  </si>
  <si>
    <t>Período
01 a 11/2016</t>
  </si>
  <si>
    <t>Período
01 a 11/2015</t>
  </si>
  <si>
    <t>Realizado até Nov/2015</t>
  </si>
  <si>
    <t>Realizado até Nov/2016</t>
  </si>
  <si>
    <r>
      <t xml:space="preserve">DATA DE ELABORAÇÃO:  </t>
    </r>
    <r>
      <rPr>
        <sz val="16"/>
        <color theme="1"/>
        <rFont val="Calibri"/>
        <family val="2"/>
        <scheme val="minor"/>
      </rPr>
      <t>01-12-2016</t>
    </r>
  </si>
  <si>
    <t>Gasto Mensal de todos os centros de custo - fase Pagamento - Sem reforma sede (compra de equipametos)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</si>
</sst>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charset val="1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3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0" fontId="0" fillId="2" borderId="0" xfId="0" applyFill="1"/>
    <xf numFmtId="0" fontId="20" fillId="2" borderId="0" xfId="0" applyFont="1" applyFill="1"/>
    <xf numFmtId="9" fontId="20" fillId="2" borderId="0" xfId="1" applyFont="1" applyFill="1" applyAlignment="1">
      <alignment horizontal="center"/>
    </xf>
    <xf numFmtId="9" fontId="20" fillId="2" borderId="0" xfId="1" applyFont="1" applyFill="1"/>
    <xf numFmtId="0" fontId="20" fillId="0" borderId="0" xfId="0" applyFont="1"/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9" fontId="19" fillId="3" borderId="1" xfId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/>
    </xf>
    <xf numFmtId="41" fontId="19" fillId="3" borderId="1" xfId="0" applyNumberFormat="1" applyFont="1" applyFill="1" applyBorder="1" applyAlignment="1">
      <alignment vertical="center"/>
    </xf>
    <xf numFmtId="9" fontId="19" fillId="3" borderId="1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 vertical="center"/>
    </xf>
    <xf numFmtId="9" fontId="20" fillId="3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9" fillId="2" borderId="1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 vertical="center"/>
    </xf>
    <xf numFmtId="9" fontId="20" fillId="2" borderId="1" xfId="1" applyFont="1" applyFill="1" applyBorder="1" applyAlignment="1">
      <alignment horizontal="center"/>
    </xf>
    <xf numFmtId="0" fontId="19" fillId="5" borderId="3" xfId="0" applyFont="1" applyFill="1" applyBorder="1" applyAlignment="1">
      <alignment vertical="center"/>
    </xf>
    <xf numFmtId="41" fontId="19" fillId="5" borderId="1" xfId="0" applyNumberFormat="1" applyFont="1" applyFill="1" applyBorder="1" applyAlignment="1">
      <alignment vertical="center"/>
    </xf>
    <xf numFmtId="9" fontId="19" fillId="5" borderId="11" xfId="1" applyFont="1" applyFill="1" applyBorder="1" applyAlignment="1">
      <alignment horizontal="center" vertical="center"/>
    </xf>
    <xf numFmtId="9" fontId="19" fillId="5" borderId="1" xfId="1" applyFont="1" applyFill="1" applyBorder="1" applyAlignment="1">
      <alignment horizontal="center" vertical="center"/>
    </xf>
    <xf numFmtId="9" fontId="19" fillId="5" borderId="1" xfId="1" applyFont="1" applyFill="1" applyBorder="1" applyAlignment="1">
      <alignment horizontal="center"/>
    </xf>
    <xf numFmtId="0" fontId="20" fillId="2" borderId="3" xfId="0" applyFont="1" applyFill="1" applyBorder="1" applyAlignment="1">
      <alignment vertical="center"/>
    </xf>
    <xf numFmtId="41" fontId="20" fillId="2" borderId="1" xfId="0" applyNumberFormat="1" applyFont="1" applyFill="1" applyBorder="1" applyAlignment="1">
      <alignment vertical="center"/>
    </xf>
    <xf numFmtId="9" fontId="19" fillId="2" borderId="3" xfId="1" applyFont="1" applyFill="1" applyBorder="1" applyAlignment="1">
      <alignment horizontal="center" vertical="center"/>
    </xf>
    <xf numFmtId="41" fontId="20" fillId="2" borderId="12" xfId="0" applyNumberFormat="1" applyFont="1" applyFill="1" applyBorder="1" applyAlignment="1">
      <alignment vertical="center"/>
    </xf>
    <xf numFmtId="9" fontId="19" fillId="3" borderId="3" xfId="1" applyFont="1" applyFill="1" applyBorder="1" applyAlignment="1">
      <alignment horizontal="center" vertical="center"/>
    </xf>
    <xf numFmtId="41" fontId="19" fillId="3" borderId="12" xfId="0" applyNumberFormat="1" applyFont="1" applyFill="1" applyBorder="1" applyAlignment="1">
      <alignment vertical="center"/>
    </xf>
    <xf numFmtId="4" fontId="20" fillId="0" borderId="0" xfId="0" applyNumberFormat="1" applyFont="1"/>
    <xf numFmtId="9" fontId="20" fillId="0" borderId="0" xfId="1" applyFont="1" applyAlignment="1">
      <alignment horizontal="center"/>
    </xf>
    <xf numFmtId="9" fontId="20" fillId="0" borderId="0" xfId="1" applyFont="1"/>
    <xf numFmtId="43" fontId="20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41" fontId="3" fillId="3" borderId="13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41" fontId="3" fillId="3" borderId="17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43" fontId="16" fillId="3" borderId="22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6" fillId="3" borderId="16" xfId="0" applyNumberFormat="1" applyFont="1" applyFill="1" applyBorder="1" applyAlignment="1">
      <alignment horizontal="center" vertical="center"/>
    </xf>
    <xf numFmtId="43" fontId="16" fillId="5" borderId="10" xfId="0" applyNumberFormat="1" applyFont="1" applyFill="1" applyBorder="1" applyAlignment="1">
      <alignment horizontal="center" vertical="center"/>
    </xf>
    <xf numFmtId="166" fontId="22" fillId="5" borderId="20" xfId="2" applyNumberFormat="1" applyFont="1" applyFill="1" applyBorder="1" applyAlignment="1">
      <alignment horizontal="center" vertical="center" wrapText="1"/>
    </xf>
    <xf numFmtId="166" fontId="15" fillId="5" borderId="13" xfId="2" applyNumberFormat="1" applyFont="1" applyFill="1" applyBorder="1" applyAlignment="1">
      <alignment horizontal="center" vertical="center"/>
    </xf>
    <xf numFmtId="166" fontId="22" fillId="5" borderId="20" xfId="2" applyNumberFormat="1" applyFont="1" applyFill="1" applyBorder="1" applyAlignment="1">
      <alignment vertical="center" wrapText="1"/>
    </xf>
    <xf numFmtId="166" fontId="22" fillId="2" borderId="20" xfId="2" applyNumberFormat="1" applyFont="1" applyFill="1" applyBorder="1" applyAlignment="1">
      <alignment vertical="center" wrapText="1"/>
    </xf>
    <xf numFmtId="166" fontId="22" fillId="2" borderId="21" xfId="2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2" fillId="3" borderId="13" xfId="0" applyFont="1" applyFill="1" applyBorder="1" applyAlignment="1">
      <alignment horizontal="center" vertical="center" readingOrder="1"/>
    </xf>
    <xf numFmtId="9" fontId="12" fillId="0" borderId="13" xfId="1" applyFont="1" applyBorder="1" applyAlignment="1">
      <alignment horizontal="center" vertical="center" readingOrder="1"/>
    </xf>
    <xf numFmtId="9" fontId="13" fillId="3" borderId="13" xfId="1" applyFont="1" applyFill="1" applyBorder="1" applyAlignment="1">
      <alignment horizontal="center" vertical="center" readingOrder="1"/>
    </xf>
    <xf numFmtId="0" fontId="13" fillId="3" borderId="13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9" fillId="3" borderId="1" xfId="1" applyFont="1" applyFill="1" applyBorder="1" applyAlignment="1">
      <alignment horizontal="center"/>
    </xf>
    <xf numFmtId="166" fontId="12" fillId="2" borderId="13" xfId="2" applyNumberFormat="1" applyFont="1" applyFill="1" applyBorder="1" applyAlignment="1">
      <alignment vertical="center"/>
    </xf>
    <xf numFmtId="166" fontId="12" fillId="5" borderId="13" xfId="2" applyNumberFormat="1" applyFont="1" applyFill="1" applyBorder="1" applyAlignment="1">
      <alignment vertical="center"/>
    </xf>
    <xf numFmtId="166" fontId="24" fillId="2" borderId="20" xfId="2" applyNumberFormat="1" applyFont="1" applyFill="1" applyBorder="1" applyAlignment="1">
      <alignment vertical="center" wrapText="1"/>
    </xf>
    <xf numFmtId="166" fontId="24" fillId="5" borderId="20" xfId="2" applyNumberFormat="1" applyFont="1" applyFill="1" applyBorder="1" applyAlignment="1">
      <alignment vertical="center" wrapText="1"/>
    </xf>
    <xf numFmtId="166" fontId="24" fillId="2" borderId="21" xfId="2" applyNumberFormat="1" applyFont="1" applyFill="1" applyBorder="1" applyAlignment="1">
      <alignment vertical="center" wrapText="1"/>
    </xf>
    <xf numFmtId="43" fontId="16" fillId="3" borderId="26" xfId="0" applyNumberFormat="1" applyFont="1" applyFill="1" applyBorder="1" applyAlignment="1">
      <alignment horizontal="center" vertical="center"/>
    </xf>
    <xf numFmtId="43" fontId="16" fillId="5" borderId="27" xfId="0" applyNumberFormat="1" applyFont="1" applyFill="1" applyBorder="1" applyAlignment="1">
      <alignment horizontal="center" vertical="center"/>
    </xf>
    <xf numFmtId="166" fontId="22" fillId="5" borderId="29" xfId="2" applyNumberFormat="1" applyFont="1" applyFill="1" applyBorder="1" applyAlignment="1">
      <alignment horizontal="center" vertical="center" wrapText="1"/>
    </xf>
    <xf numFmtId="43" fontId="16" fillId="5" borderId="30" xfId="0" applyNumberFormat="1" applyFont="1" applyFill="1" applyBorder="1" applyAlignment="1">
      <alignment horizontal="center" vertical="center"/>
    </xf>
    <xf numFmtId="166" fontId="12" fillId="2" borderId="3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166" fontId="15" fillId="0" borderId="31" xfId="2" applyNumberFormat="1" applyFont="1" applyBorder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6" fillId="6" borderId="32" xfId="0" applyFont="1" applyFill="1" applyBorder="1" applyAlignment="1">
      <alignment horizontal="left" vertical="center" wrapText="1"/>
    </xf>
    <xf numFmtId="0" fontId="27" fillId="2" borderId="0" xfId="0" applyFont="1" applyFill="1"/>
    <xf numFmtId="41" fontId="26" fillId="6" borderId="36" xfId="0" applyNumberFormat="1" applyFont="1" applyFill="1" applyBorder="1" applyAlignment="1">
      <alignment horizontal="center" vertical="center" wrapText="1"/>
    </xf>
    <xf numFmtId="41" fontId="26" fillId="6" borderId="37" xfId="0" applyNumberFormat="1" applyFont="1" applyFill="1" applyBorder="1" applyAlignment="1">
      <alignment horizontal="center" vertical="center" wrapText="1"/>
    </xf>
    <xf numFmtId="41" fontId="2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5" fillId="3" borderId="39" xfId="2" applyFont="1" applyFill="1" applyBorder="1" applyAlignment="1">
      <alignment horizontal="left" vertical="center" wrapText="1"/>
    </xf>
    <xf numFmtId="165" fontId="25" fillId="2" borderId="0" xfId="1" applyNumberFormat="1" applyFont="1" applyFill="1" applyBorder="1" applyAlignment="1">
      <alignment horizontal="left" vertical="center" wrapText="1"/>
    </xf>
    <xf numFmtId="41" fontId="25" fillId="2" borderId="27" xfId="0" applyNumberFormat="1" applyFont="1" applyFill="1" applyBorder="1" applyAlignment="1">
      <alignment horizontal="right" vertical="center" wrapText="1"/>
    </xf>
    <xf numFmtId="43" fontId="25" fillId="3" borderId="28" xfId="2" applyFont="1" applyFill="1" applyBorder="1" applyAlignment="1">
      <alignment horizontal="right" vertical="center" wrapText="1"/>
    </xf>
    <xf numFmtId="43" fontId="25" fillId="3" borderId="42" xfId="2" applyFont="1" applyFill="1" applyBorder="1" applyAlignment="1">
      <alignment horizontal="left" vertical="center" wrapText="1"/>
    </xf>
    <xf numFmtId="41" fontId="25" fillId="2" borderId="13" xfId="0" applyNumberFormat="1" applyFont="1" applyFill="1" applyBorder="1" applyAlignment="1">
      <alignment horizontal="left" vertical="center" wrapText="1"/>
    </xf>
    <xf numFmtId="43" fontId="25" fillId="3" borderId="15" xfId="2" applyFont="1" applyFill="1" applyBorder="1" applyAlignment="1">
      <alignment horizontal="right" vertical="center" wrapText="1"/>
    </xf>
    <xf numFmtId="41" fontId="25" fillId="3" borderId="17" xfId="0" applyNumberFormat="1" applyFont="1" applyFill="1" applyBorder="1" applyAlignment="1">
      <alignment horizontal="left" vertical="center" wrapText="1"/>
    </xf>
    <xf numFmtId="43" fontId="25" fillId="3" borderId="18" xfId="2" applyFont="1" applyFill="1" applyBorder="1" applyAlignment="1">
      <alignment horizontal="right" vertical="center" wrapText="1"/>
    </xf>
    <xf numFmtId="166" fontId="25" fillId="2" borderId="0" xfId="2" applyNumberFormat="1" applyFont="1" applyFill="1" applyBorder="1" applyAlignment="1">
      <alignment horizontal="right" vertical="center" wrapText="1"/>
    </xf>
    <xf numFmtId="43" fontId="25" fillId="2" borderId="0" xfId="2" applyFont="1" applyFill="1" applyBorder="1" applyAlignment="1">
      <alignment horizontal="left" vertical="center" wrapText="1"/>
    </xf>
    <xf numFmtId="166" fontId="25" fillId="2" borderId="0" xfId="2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/>
    </xf>
    <xf numFmtId="41" fontId="2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9" fillId="6" borderId="48" xfId="0" applyNumberFormat="1" applyFont="1" applyFill="1" applyBorder="1" applyAlignment="1">
      <alignment horizontal="center" vertical="center" wrapText="1"/>
    </xf>
    <xf numFmtId="41" fontId="29" fillId="6" borderId="49" xfId="0" applyNumberFormat="1" applyFont="1" applyFill="1" applyBorder="1" applyAlignment="1">
      <alignment horizontal="center" vertical="center" wrapText="1"/>
    </xf>
    <xf numFmtId="41" fontId="29" fillId="6" borderId="47" xfId="0" applyNumberFormat="1" applyFont="1" applyFill="1" applyBorder="1" applyAlignment="1">
      <alignment horizontal="center" vertical="center" wrapText="1"/>
    </xf>
    <xf numFmtId="41" fontId="29" fillId="6" borderId="50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>
      <alignment horizontal="right" vertical="center" wrapText="1"/>
    </xf>
    <xf numFmtId="41" fontId="3" fillId="2" borderId="10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3" xfId="0" applyNumberFormat="1" applyFont="1" applyFill="1" applyBorder="1" applyAlignment="1">
      <alignment horizontal="center" vertical="center" wrapText="1"/>
    </xf>
    <xf numFmtId="41" fontId="3" fillId="3" borderId="10" xfId="0" applyNumberFormat="1" applyFont="1" applyFill="1" applyBorder="1" applyAlignment="1">
      <alignment horizontal="right" vertical="center" wrapText="1"/>
    </xf>
    <xf numFmtId="41" fontId="34" fillId="7" borderId="13" xfId="0" applyNumberFormat="1" applyFont="1" applyFill="1" applyBorder="1" applyAlignment="1">
      <alignment horizontal="center" vertical="center" wrapText="1"/>
    </xf>
    <xf numFmtId="165" fontId="3" fillId="3" borderId="13" xfId="2" applyNumberFormat="1" applyFont="1" applyFill="1" applyBorder="1" applyAlignment="1">
      <alignment horizontal="right" vertical="center" wrapText="1"/>
    </xf>
    <xf numFmtId="165" fontId="3" fillId="3" borderId="15" xfId="1" applyNumberFormat="1" applyFont="1" applyFill="1" applyBorder="1" applyAlignment="1">
      <alignment horizontal="right" vertical="center" wrapText="1"/>
    </xf>
    <xf numFmtId="41" fontId="3" fillId="7" borderId="13" xfId="0" applyNumberFormat="1" applyFont="1" applyFill="1" applyBorder="1" applyAlignment="1">
      <alignment horizontal="center" vertical="center" wrapText="1"/>
    </xf>
    <xf numFmtId="165" fontId="3" fillId="3" borderId="13" xfId="1" applyNumberFormat="1" applyFont="1" applyFill="1" applyBorder="1" applyAlignment="1">
      <alignment horizontal="right" vertical="center" wrapText="1"/>
    </xf>
    <xf numFmtId="166" fontId="3" fillId="2" borderId="13" xfId="2" applyNumberFormat="1" applyFont="1" applyFill="1" applyBorder="1" applyAlignment="1">
      <alignment horizontal="right" vertical="center" wrapText="1"/>
    </xf>
    <xf numFmtId="41" fontId="3" fillId="2" borderId="13" xfId="0" applyNumberFormat="1" applyFont="1" applyFill="1" applyBorder="1" applyAlignment="1">
      <alignment horizontal="right" vertical="center" wrapText="1"/>
    </xf>
    <xf numFmtId="43" fontId="3" fillId="3" borderId="15" xfId="2" applyFont="1" applyFill="1" applyBorder="1" applyAlignment="1">
      <alignment horizontal="right" vertical="center" wrapText="1"/>
    </xf>
    <xf numFmtId="41" fontId="3" fillId="7" borderId="17" xfId="0" applyNumberFormat="1" applyFont="1" applyFill="1" applyBorder="1" applyAlignment="1">
      <alignment horizontal="center" vertical="center" wrapText="1"/>
    </xf>
    <xf numFmtId="165" fontId="3" fillId="3" borderId="17" xfId="1" applyNumberFormat="1" applyFont="1" applyFill="1" applyBorder="1" applyAlignment="1">
      <alignment horizontal="right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43" fontId="3" fillId="2" borderId="13" xfId="2" applyFont="1" applyFill="1" applyBorder="1" applyAlignment="1">
      <alignment horizontal="right" vertical="center" wrapText="1"/>
    </xf>
    <xf numFmtId="165" fontId="3" fillId="3" borderId="17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166" fontId="25" fillId="3" borderId="29" xfId="2" applyNumberFormat="1" applyFont="1" applyFill="1" applyBorder="1" applyAlignment="1">
      <alignment horizontal="left" vertical="center" wrapText="1"/>
    </xf>
    <xf numFmtId="166" fontId="25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3" xfId="2" applyNumberFormat="1" applyFont="1" applyFill="1" applyBorder="1" applyAlignment="1">
      <alignment horizontal="center" vertical="center" wrapText="1"/>
    </xf>
    <xf numFmtId="166" fontId="0" fillId="2" borderId="13" xfId="2" applyNumberFormat="1" applyFont="1" applyFill="1" applyBorder="1"/>
    <xf numFmtId="166" fontId="3" fillId="3" borderId="17" xfId="2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166" fontId="26" fillId="6" borderId="41" xfId="2" applyNumberFormat="1" applyFont="1" applyFill="1" applyBorder="1" applyAlignment="1">
      <alignment horizontal="left" vertical="center" wrapText="1"/>
    </xf>
    <xf numFmtId="43" fontId="26" fillId="6" borderId="42" xfId="2" applyFont="1" applyFill="1" applyBorder="1" applyAlignment="1">
      <alignment horizontal="left" vertical="center" wrapText="1"/>
    </xf>
    <xf numFmtId="166" fontId="26" fillId="6" borderId="44" xfId="2" applyNumberFormat="1" applyFont="1" applyFill="1" applyBorder="1" applyAlignment="1">
      <alignment horizontal="left" vertical="center" wrapText="1"/>
    </xf>
    <xf numFmtId="43" fontId="26" fillId="6" borderId="45" xfId="2" applyNumberFormat="1" applyFont="1" applyFill="1" applyBorder="1" applyAlignment="1">
      <alignment horizontal="center" vertical="center" wrapText="1"/>
    </xf>
    <xf numFmtId="166" fontId="0" fillId="0" borderId="13" xfId="2" applyNumberFormat="1" applyFont="1" applyFill="1" applyBorder="1" applyAlignment="1">
      <alignment vertical="center" wrapText="1"/>
    </xf>
    <xf numFmtId="166" fontId="0" fillId="0" borderId="13" xfId="2" applyNumberFormat="1" applyFont="1" applyFill="1" applyBorder="1"/>
    <xf numFmtId="166" fontId="0" fillId="0" borderId="0" xfId="2" applyNumberFormat="1" applyFont="1" applyFill="1"/>
    <xf numFmtId="166" fontId="1" fillId="0" borderId="1" xfId="2" applyNumberFormat="1" applyFont="1" applyFill="1" applyBorder="1" applyAlignment="1">
      <alignment vertical="center" wrapText="1"/>
    </xf>
    <xf numFmtId="41" fontId="20" fillId="0" borderId="1" xfId="0" applyNumberFormat="1" applyFont="1" applyFill="1" applyBorder="1" applyAlignment="1">
      <alignment vertical="center"/>
    </xf>
    <xf numFmtId="41" fontId="19" fillId="0" borderId="1" xfId="0" applyNumberFormat="1" applyFont="1" applyFill="1" applyBorder="1" applyAlignment="1">
      <alignment vertical="center"/>
    </xf>
    <xf numFmtId="166" fontId="15" fillId="0" borderId="17" xfId="2" applyNumberFormat="1" applyFont="1" applyFill="1" applyBorder="1" applyAlignment="1">
      <alignment horizontal="center" vertical="center"/>
    </xf>
    <xf numFmtId="41" fontId="25" fillId="0" borderId="27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6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2" fillId="3" borderId="25" xfId="0" applyFont="1" applyFill="1" applyBorder="1" applyAlignment="1">
      <alignment horizontal="left" vertical="center" wrapText="1"/>
    </xf>
    <xf numFmtId="166" fontId="11" fillId="3" borderId="13" xfId="2" applyNumberFormat="1" applyFont="1" applyFill="1" applyBorder="1" applyAlignment="1">
      <alignment horizontal="center" vertical="center" wrapText="1" readingOrder="1"/>
    </xf>
    <xf numFmtId="167" fontId="12" fillId="0" borderId="13" xfId="2" applyNumberFormat="1" applyFont="1" applyFill="1" applyBorder="1" applyAlignment="1">
      <alignment horizontal="center" vertical="center" readingOrder="1"/>
    </xf>
    <xf numFmtId="167" fontId="13" fillId="3" borderId="13" xfId="2" applyNumberFormat="1" applyFont="1" applyFill="1" applyBorder="1" applyAlignment="1">
      <alignment horizontal="center" vertical="center" readingOrder="1"/>
    </xf>
    <xf numFmtId="167" fontId="18" fillId="0" borderId="13" xfId="2" applyNumberFormat="1" applyFont="1" applyBorder="1" applyAlignment="1">
      <alignment horizontal="center" vertical="center" readingOrder="1"/>
    </xf>
    <xf numFmtId="167" fontId="12" fillId="0" borderId="13" xfId="2" applyNumberFormat="1" applyFont="1" applyBorder="1" applyAlignment="1">
      <alignment horizontal="center" vertical="center" readingOrder="1"/>
    </xf>
    <xf numFmtId="167" fontId="23" fillId="3" borderId="13" xfId="2" applyNumberFormat="1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horizont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3" xfId="0" applyFont="1" applyFill="1" applyBorder="1" applyAlignment="1">
      <alignment horizontal="justify" vertical="justify" wrapText="1"/>
    </xf>
    <xf numFmtId="0" fontId="3" fillId="7" borderId="16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  <xf numFmtId="0" fontId="26" fillId="6" borderId="16" xfId="0" applyFont="1" applyFill="1" applyBorder="1" applyAlignment="1">
      <alignment horizontal="left" vertical="center" wrapText="1"/>
    </xf>
    <xf numFmtId="0" fontId="26" fillId="6" borderId="31" xfId="0" applyFont="1" applyFill="1" applyBorder="1" applyAlignment="1">
      <alignment horizontal="left" vertical="center" wrapText="1"/>
    </xf>
    <xf numFmtId="0" fontId="29" fillId="6" borderId="46" xfId="0" applyFont="1" applyFill="1" applyBorder="1" applyAlignment="1">
      <alignment horizontal="center" vertical="center" textRotation="90"/>
    </xf>
    <xf numFmtId="0" fontId="29" fillId="6" borderId="53" xfId="0" applyFont="1" applyFill="1" applyBorder="1" applyAlignment="1">
      <alignment horizontal="center" vertical="center" textRotation="90"/>
    </xf>
    <xf numFmtId="41" fontId="29" fillId="6" borderId="47" xfId="0" applyNumberFormat="1" applyFont="1" applyFill="1" applyBorder="1" applyAlignment="1">
      <alignment horizontal="center" vertical="center" wrapText="1"/>
    </xf>
    <xf numFmtId="41" fontId="29" fillId="6" borderId="48" xfId="0" applyNumberFormat="1" applyFont="1" applyFill="1" applyBorder="1" applyAlignment="1">
      <alignment horizontal="center" vertical="center" wrapText="1"/>
    </xf>
    <xf numFmtId="41" fontId="29" fillId="6" borderId="26" xfId="0" applyNumberFormat="1" applyFont="1" applyFill="1" applyBorder="1" applyAlignment="1">
      <alignment horizontal="center" vertical="center" wrapText="1"/>
    </xf>
    <xf numFmtId="41" fontId="29" fillId="6" borderId="27" xfId="0" applyNumberFormat="1" applyFont="1" applyFill="1" applyBorder="1" applyAlignment="1">
      <alignment horizontal="center" vertical="center" wrapText="1"/>
    </xf>
    <xf numFmtId="41" fontId="29" fillId="6" borderId="3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7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0" fontId="1" fillId="7" borderId="57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left"/>
    </xf>
    <xf numFmtId="0" fontId="26" fillId="6" borderId="34" xfId="0" applyFont="1" applyFill="1" applyBorder="1" applyAlignment="1">
      <alignment horizontal="center" vertical="center" textRotation="90"/>
    </xf>
    <xf numFmtId="0" fontId="26" fillId="6" borderId="38" xfId="0" applyFont="1" applyFill="1" applyBorder="1" applyAlignment="1">
      <alignment horizontal="center" vertical="center" textRotation="90"/>
    </xf>
    <xf numFmtId="0" fontId="26" fillId="6" borderId="21" xfId="0" applyFont="1" applyFill="1" applyBorder="1" applyAlignment="1">
      <alignment horizontal="center" vertical="center" textRotation="90"/>
    </xf>
    <xf numFmtId="41" fontId="26" fillId="6" borderId="35" xfId="0" applyNumberFormat="1" applyFont="1" applyFill="1" applyBorder="1" applyAlignment="1">
      <alignment horizontal="center" vertical="center" wrapText="1"/>
    </xf>
    <xf numFmtId="41" fontId="26" fillId="6" borderId="36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left" vertical="center"/>
    </xf>
    <xf numFmtId="0" fontId="28" fillId="2" borderId="30" xfId="0" applyFont="1" applyFill="1" applyBorder="1" applyAlignment="1">
      <alignment horizontal="left" vertical="center"/>
    </xf>
    <xf numFmtId="41" fontId="25" fillId="2" borderId="40" xfId="0" applyNumberFormat="1" applyFont="1" applyFill="1" applyBorder="1" applyAlignment="1">
      <alignment horizontal="left" vertical="center" wrapText="1"/>
    </xf>
    <xf numFmtId="41" fontId="25" fillId="2" borderId="27" xfId="0" applyNumberFormat="1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41" fontId="25" fillId="2" borderId="5" xfId="0" applyNumberFormat="1" applyFont="1" applyFill="1" applyBorder="1" applyAlignment="1">
      <alignment horizontal="left" vertical="center" wrapText="1"/>
    </xf>
    <xf numFmtId="41" fontId="25" fillId="2" borderId="13" xfId="0" applyNumberFormat="1" applyFont="1" applyFill="1" applyBorder="1" applyAlignment="1">
      <alignment horizontal="left" vertical="center" wrapText="1"/>
    </xf>
    <xf numFmtId="41" fontId="26" fillId="6" borderId="14" xfId="0" applyNumberFormat="1" applyFont="1" applyFill="1" applyBorder="1" applyAlignment="1">
      <alignment horizontal="left" vertical="center" wrapText="1"/>
    </xf>
    <xf numFmtId="41" fontId="26" fillId="6" borderId="3" xfId="0" applyNumberFormat="1" applyFont="1" applyFill="1" applyBorder="1" applyAlignment="1">
      <alignment horizontal="left" vertical="center" wrapText="1"/>
    </xf>
    <xf numFmtId="41" fontId="25" fillId="2" borderId="43" xfId="0" applyNumberFormat="1" applyFont="1" applyFill="1" applyBorder="1" applyAlignment="1">
      <alignment horizontal="left" vertical="center" wrapText="1"/>
    </xf>
    <xf numFmtId="41" fontId="25" fillId="2" borderId="17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até Novembro 2016</a:t>
          </a:r>
        </a:p>
        <a:p>
          <a:pPr marL="0" indent="0"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477536</xdr:colOff>
      <xdr:row>25</xdr:row>
      <xdr:rowOff>70858</xdr:rowOff>
    </xdr:from>
    <xdr:to>
      <xdr:col>10</xdr:col>
      <xdr:colOff>0</xdr:colOff>
      <xdr:row>27</xdr:row>
      <xdr:rowOff>57998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4135136" y="4833358"/>
          <a:ext cx="6319088" cy="36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2016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613929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6</xdr:col>
      <xdr:colOff>76340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6</xdr:col>
      <xdr:colOff>664369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11</xdr:col>
      <xdr:colOff>552451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11</xdr:col>
      <xdr:colOff>785813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AU-AL/003%20-%20GERENCIA%20ADM-FIN/004%20-%20CONTABILIDADE%20CAU-AL/05%20-%20PRESTA&#199;&#195;O%20DE%20CONTAS/2016/Relat&#243;rio%20Quadrimestral%202016-%20CAUAL_2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nálise do 1º Quad.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</sheetNames>
    <sheetDataSet>
      <sheetData sheetId="0"/>
      <sheetData sheetId="1"/>
      <sheetData sheetId="2">
        <row r="33">
          <cell r="C33">
            <v>18524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Normal="100" zoomScaleSheetLayoutView="90" workbookViewId="0">
      <selection activeCell="N22" sqref="N22"/>
    </sheetView>
  </sheetViews>
  <sheetFormatPr defaultRowHeight="15" x14ac:dyDescent="0.25"/>
  <cols>
    <col min="1" max="9" width="9.140625" style="76"/>
    <col min="10" max="10" width="43.42578125" style="76" customWidth="1"/>
    <col min="11" max="257" width="9.140625" style="76"/>
    <col min="258" max="258" width="43.42578125" style="76" customWidth="1"/>
    <col min="259" max="513" width="9.140625" style="76"/>
    <col min="514" max="514" width="43.42578125" style="76" customWidth="1"/>
    <col min="515" max="769" width="9.140625" style="76"/>
    <col min="770" max="770" width="43.42578125" style="76" customWidth="1"/>
    <col min="771" max="1025" width="9.140625" style="76"/>
    <col min="1026" max="1026" width="43.42578125" style="76" customWidth="1"/>
    <col min="1027" max="1281" width="9.140625" style="76"/>
    <col min="1282" max="1282" width="43.42578125" style="76" customWidth="1"/>
    <col min="1283" max="1537" width="9.140625" style="76"/>
    <col min="1538" max="1538" width="43.42578125" style="76" customWidth="1"/>
    <col min="1539" max="1793" width="9.140625" style="76"/>
    <col min="1794" max="1794" width="43.42578125" style="76" customWidth="1"/>
    <col min="1795" max="2049" width="9.140625" style="76"/>
    <col min="2050" max="2050" width="43.42578125" style="76" customWidth="1"/>
    <col min="2051" max="2305" width="9.140625" style="76"/>
    <col min="2306" max="2306" width="43.42578125" style="76" customWidth="1"/>
    <col min="2307" max="2561" width="9.140625" style="76"/>
    <col min="2562" max="2562" width="43.42578125" style="76" customWidth="1"/>
    <col min="2563" max="2817" width="9.140625" style="76"/>
    <col min="2818" max="2818" width="43.42578125" style="76" customWidth="1"/>
    <col min="2819" max="3073" width="9.140625" style="76"/>
    <col min="3074" max="3074" width="43.42578125" style="76" customWidth="1"/>
    <col min="3075" max="3329" width="9.140625" style="76"/>
    <col min="3330" max="3330" width="43.42578125" style="76" customWidth="1"/>
    <col min="3331" max="3585" width="9.140625" style="76"/>
    <col min="3586" max="3586" width="43.42578125" style="76" customWidth="1"/>
    <col min="3587" max="3841" width="9.140625" style="76"/>
    <col min="3842" max="3842" width="43.42578125" style="76" customWidth="1"/>
    <col min="3843" max="4097" width="9.140625" style="76"/>
    <col min="4098" max="4098" width="43.42578125" style="76" customWidth="1"/>
    <col min="4099" max="4353" width="9.140625" style="76"/>
    <col min="4354" max="4354" width="43.42578125" style="76" customWidth="1"/>
    <col min="4355" max="4609" width="9.140625" style="76"/>
    <col min="4610" max="4610" width="43.42578125" style="76" customWidth="1"/>
    <col min="4611" max="4865" width="9.140625" style="76"/>
    <col min="4866" max="4866" width="43.42578125" style="76" customWidth="1"/>
    <col min="4867" max="5121" width="9.140625" style="76"/>
    <col min="5122" max="5122" width="43.42578125" style="76" customWidth="1"/>
    <col min="5123" max="5377" width="9.140625" style="76"/>
    <col min="5378" max="5378" width="43.42578125" style="76" customWidth="1"/>
    <col min="5379" max="5633" width="9.140625" style="76"/>
    <col min="5634" max="5634" width="43.42578125" style="76" customWidth="1"/>
    <col min="5635" max="5889" width="9.140625" style="76"/>
    <col min="5890" max="5890" width="43.42578125" style="76" customWidth="1"/>
    <col min="5891" max="6145" width="9.140625" style="76"/>
    <col min="6146" max="6146" width="43.42578125" style="76" customWidth="1"/>
    <col min="6147" max="6401" width="9.140625" style="76"/>
    <col min="6402" max="6402" width="43.42578125" style="76" customWidth="1"/>
    <col min="6403" max="6657" width="9.140625" style="76"/>
    <col min="6658" max="6658" width="43.42578125" style="76" customWidth="1"/>
    <col min="6659" max="6913" width="9.140625" style="76"/>
    <col min="6914" max="6914" width="43.42578125" style="76" customWidth="1"/>
    <col min="6915" max="7169" width="9.140625" style="76"/>
    <col min="7170" max="7170" width="43.42578125" style="76" customWidth="1"/>
    <col min="7171" max="7425" width="9.140625" style="76"/>
    <col min="7426" max="7426" width="43.42578125" style="76" customWidth="1"/>
    <col min="7427" max="7681" width="9.140625" style="76"/>
    <col min="7682" max="7682" width="43.42578125" style="76" customWidth="1"/>
    <col min="7683" max="7937" width="9.140625" style="76"/>
    <col min="7938" max="7938" width="43.42578125" style="76" customWidth="1"/>
    <col min="7939" max="8193" width="9.140625" style="76"/>
    <col min="8194" max="8194" width="43.42578125" style="76" customWidth="1"/>
    <col min="8195" max="8449" width="9.140625" style="76"/>
    <col min="8450" max="8450" width="43.42578125" style="76" customWidth="1"/>
    <col min="8451" max="8705" width="9.140625" style="76"/>
    <col min="8706" max="8706" width="43.42578125" style="76" customWidth="1"/>
    <col min="8707" max="8961" width="9.140625" style="76"/>
    <col min="8962" max="8962" width="43.42578125" style="76" customWidth="1"/>
    <col min="8963" max="9217" width="9.140625" style="76"/>
    <col min="9218" max="9218" width="43.42578125" style="76" customWidth="1"/>
    <col min="9219" max="9473" width="9.140625" style="76"/>
    <col min="9474" max="9474" width="43.42578125" style="76" customWidth="1"/>
    <col min="9475" max="9729" width="9.140625" style="76"/>
    <col min="9730" max="9730" width="43.42578125" style="76" customWidth="1"/>
    <col min="9731" max="9985" width="9.140625" style="76"/>
    <col min="9986" max="9986" width="43.42578125" style="76" customWidth="1"/>
    <col min="9987" max="10241" width="9.140625" style="76"/>
    <col min="10242" max="10242" width="43.42578125" style="76" customWidth="1"/>
    <col min="10243" max="10497" width="9.140625" style="76"/>
    <col min="10498" max="10498" width="43.42578125" style="76" customWidth="1"/>
    <col min="10499" max="10753" width="9.140625" style="76"/>
    <col min="10754" max="10754" width="43.42578125" style="76" customWidth="1"/>
    <col min="10755" max="11009" width="9.140625" style="76"/>
    <col min="11010" max="11010" width="43.42578125" style="76" customWidth="1"/>
    <col min="11011" max="11265" width="9.140625" style="76"/>
    <col min="11266" max="11266" width="43.42578125" style="76" customWidth="1"/>
    <col min="11267" max="11521" width="9.140625" style="76"/>
    <col min="11522" max="11522" width="43.42578125" style="76" customWidth="1"/>
    <col min="11523" max="11777" width="9.140625" style="76"/>
    <col min="11778" max="11778" width="43.42578125" style="76" customWidth="1"/>
    <col min="11779" max="12033" width="9.140625" style="76"/>
    <col min="12034" max="12034" width="43.42578125" style="76" customWidth="1"/>
    <col min="12035" max="12289" width="9.140625" style="76"/>
    <col min="12290" max="12290" width="43.42578125" style="76" customWidth="1"/>
    <col min="12291" max="12545" width="9.140625" style="76"/>
    <col min="12546" max="12546" width="43.42578125" style="76" customWidth="1"/>
    <col min="12547" max="12801" width="9.140625" style="76"/>
    <col min="12802" max="12802" width="43.42578125" style="76" customWidth="1"/>
    <col min="12803" max="13057" width="9.140625" style="76"/>
    <col min="13058" max="13058" width="43.42578125" style="76" customWidth="1"/>
    <col min="13059" max="13313" width="9.140625" style="76"/>
    <col min="13314" max="13314" width="43.42578125" style="76" customWidth="1"/>
    <col min="13315" max="13569" width="9.140625" style="76"/>
    <col min="13570" max="13570" width="43.42578125" style="76" customWidth="1"/>
    <col min="13571" max="13825" width="9.140625" style="76"/>
    <col min="13826" max="13826" width="43.42578125" style="76" customWidth="1"/>
    <col min="13827" max="14081" width="9.140625" style="76"/>
    <col min="14082" max="14082" width="43.42578125" style="76" customWidth="1"/>
    <col min="14083" max="14337" width="9.140625" style="76"/>
    <col min="14338" max="14338" width="43.42578125" style="76" customWidth="1"/>
    <col min="14339" max="14593" width="9.140625" style="76"/>
    <col min="14594" max="14594" width="43.42578125" style="76" customWidth="1"/>
    <col min="14595" max="14849" width="9.140625" style="76"/>
    <col min="14850" max="14850" width="43.42578125" style="76" customWidth="1"/>
    <col min="14851" max="15105" width="9.140625" style="76"/>
    <col min="15106" max="15106" width="43.42578125" style="76" customWidth="1"/>
    <col min="15107" max="15361" width="9.140625" style="76"/>
    <col min="15362" max="15362" width="43.42578125" style="76" customWidth="1"/>
    <col min="15363" max="15617" width="9.140625" style="76"/>
    <col min="15618" max="15618" width="43.42578125" style="76" customWidth="1"/>
    <col min="15619" max="15873" width="9.140625" style="76"/>
    <col min="15874" max="15874" width="43.42578125" style="76" customWidth="1"/>
    <col min="15875" max="16129" width="9.140625" style="76"/>
    <col min="16130" max="16130" width="43.42578125" style="76" customWidth="1"/>
    <col min="16131" max="16384" width="9.140625" style="76"/>
  </cols>
  <sheetData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X33"/>
  <sheetViews>
    <sheetView tabSelected="1" view="pageBreakPreview" topLeftCell="A10" zoomScale="60" zoomScaleNormal="70" workbookViewId="0">
      <selection activeCell="R23" sqref="R23"/>
    </sheetView>
  </sheetViews>
  <sheetFormatPr defaultRowHeight="15" x14ac:dyDescent="0.25"/>
  <cols>
    <col min="1" max="1" width="9.140625" style="76"/>
    <col min="2" max="2" width="35.5703125" style="76" customWidth="1"/>
    <col min="3" max="3" width="23" style="76" customWidth="1"/>
    <col min="4" max="4" width="17.7109375" style="76" customWidth="1"/>
    <col min="5" max="5" width="18.42578125" style="76" customWidth="1"/>
    <col min="6" max="6" width="15.5703125" style="76" customWidth="1"/>
    <col min="7" max="7" width="13.140625" style="76" customWidth="1"/>
    <col min="8" max="8" width="10.7109375" style="76" customWidth="1"/>
    <col min="9" max="9" width="40.85546875" style="76" customWidth="1"/>
    <col min="10" max="10" width="34.140625" style="76" customWidth="1"/>
    <col min="11" max="11" width="16" style="76" customWidth="1"/>
    <col min="12" max="12" width="15.7109375" style="76" customWidth="1"/>
    <col min="13" max="13" width="17.42578125" style="76" customWidth="1"/>
    <col min="14" max="249" width="9.140625" style="76"/>
    <col min="250" max="250" width="35.5703125" style="76" customWidth="1"/>
    <col min="251" max="251" width="23" style="76" customWidth="1"/>
    <col min="252" max="252" width="17.7109375" style="76" customWidth="1"/>
    <col min="253" max="253" width="18.42578125" style="76" customWidth="1"/>
    <col min="254" max="255" width="13.140625" style="76" customWidth="1"/>
    <col min="256" max="256" width="10.7109375" style="76" customWidth="1"/>
    <col min="257" max="257" width="40.85546875" style="76" customWidth="1"/>
    <col min="258" max="258" width="34.140625" style="76" customWidth="1"/>
    <col min="259" max="259" width="16" style="76" customWidth="1"/>
    <col min="260" max="260" width="15.7109375" style="76" customWidth="1"/>
    <col min="261" max="261" width="17.42578125" style="76" customWidth="1"/>
    <col min="262" max="262" width="10.7109375" style="76" customWidth="1"/>
    <col min="263" max="263" width="13" style="76" customWidth="1"/>
    <col min="264" max="264" width="16.7109375" style="76" customWidth="1"/>
    <col min="265" max="505" width="9.140625" style="76"/>
    <col min="506" max="506" width="35.5703125" style="76" customWidth="1"/>
    <col min="507" max="507" width="23" style="76" customWidth="1"/>
    <col min="508" max="508" width="17.7109375" style="76" customWidth="1"/>
    <col min="509" max="509" width="18.42578125" style="76" customWidth="1"/>
    <col min="510" max="511" width="13.140625" style="76" customWidth="1"/>
    <col min="512" max="512" width="10.7109375" style="76" customWidth="1"/>
    <col min="513" max="513" width="40.85546875" style="76" customWidth="1"/>
    <col min="514" max="514" width="34.140625" style="76" customWidth="1"/>
    <col min="515" max="515" width="16" style="76" customWidth="1"/>
    <col min="516" max="516" width="15.7109375" style="76" customWidth="1"/>
    <col min="517" max="517" width="17.42578125" style="76" customWidth="1"/>
    <col min="518" max="518" width="10.7109375" style="76" customWidth="1"/>
    <col min="519" max="519" width="13" style="76" customWidth="1"/>
    <col min="520" max="520" width="16.7109375" style="76" customWidth="1"/>
    <col min="521" max="761" width="9.140625" style="76"/>
    <col min="762" max="762" width="35.5703125" style="76" customWidth="1"/>
    <col min="763" max="763" width="23" style="76" customWidth="1"/>
    <col min="764" max="764" width="17.7109375" style="76" customWidth="1"/>
    <col min="765" max="765" width="18.42578125" style="76" customWidth="1"/>
    <col min="766" max="767" width="13.140625" style="76" customWidth="1"/>
    <col min="768" max="768" width="10.7109375" style="76" customWidth="1"/>
    <col min="769" max="769" width="40.85546875" style="76" customWidth="1"/>
    <col min="770" max="770" width="34.140625" style="76" customWidth="1"/>
    <col min="771" max="771" width="16" style="76" customWidth="1"/>
    <col min="772" max="772" width="15.7109375" style="76" customWidth="1"/>
    <col min="773" max="773" width="17.42578125" style="76" customWidth="1"/>
    <col min="774" max="774" width="10.7109375" style="76" customWidth="1"/>
    <col min="775" max="775" width="13" style="76" customWidth="1"/>
    <col min="776" max="776" width="16.7109375" style="76" customWidth="1"/>
    <col min="777" max="1017" width="9.140625" style="76"/>
    <col min="1018" max="1018" width="35.5703125" style="76" customWidth="1"/>
    <col min="1019" max="1019" width="23" style="76" customWidth="1"/>
    <col min="1020" max="1020" width="17.7109375" style="76" customWidth="1"/>
    <col min="1021" max="1021" width="18.42578125" style="76" customWidth="1"/>
    <col min="1022" max="1023" width="13.140625" style="76" customWidth="1"/>
    <col min="1024" max="1024" width="10.7109375" style="76" customWidth="1"/>
    <col min="1025" max="1025" width="40.85546875" style="76" customWidth="1"/>
    <col min="1026" max="1026" width="34.140625" style="76" customWidth="1"/>
    <col min="1027" max="1027" width="16" style="76" customWidth="1"/>
    <col min="1028" max="1028" width="15.7109375" style="76" customWidth="1"/>
    <col min="1029" max="1029" width="17.42578125" style="76" customWidth="1"/>
    <col min="1030" max="1030" width="10.7109375" style="76" customWidth="1"/>
    <col min="1031" max="1031" width="13" style="76" customWidth="1"/>
    <col min="1032" max="1032" width="16.7109375" style="76" customWidth="1"/>
    <col min="1033" max="1273" width="9.140625" style="76"/>
    <col min="1274" max="1274" width="35.5703125" style="76" customWidth="1"/>
    <col min="1275" max="1275" width="23" style="76" customWidth="1"/>
    <col min="1276" max="1276" width="17.7109375" style="76" customWidth="1"/>
    <col min="1277" max="1277" width="18.42578125" style="76" customWidth="1"/>
    <col min="1278" max="1279" width="13.140625" style="76" customWidth="1"/>
    <col min="1280" max="1280" width="10.7109375" style="76" customWidth="1"/>
    <col min="1281" max="1281" width="40.85546875" style="76" customWidth="1"/>
    <col min="1282" max="1282" width="34.140625" style="76" customWidth="1"/>
    <col min="1283" max="1283" width="16" style="76" customWidth="1"/>
    <col min="1284" max="1284" width="15.7109375" style="76" customWidth="1"/>
    <col min="1285" max="1285" width="17.42578125" style="76" customWidth="1"/>
    <col min="1286" max="1286" width="10.7109375" style="76" customWidth="1"/>
    <col min="1287" max="1287" width="13" style="76" customWidth="1"/>
    <col min="1288" max="1288" width="16.7109375" style="76" customWidth="1"/>
    <col min="1289" max="1529" width="9.140625" style="76"/>
    <col min="1530" max="1530" width="35.5703125" style="76" customWidth="1"/>
    <col min="1531" max="1531" width="23" style="76" customWidth="1"/>
    <col min="1532" max="1532" width="17.7109375" style="76" customWidth="1"/>
    <col min="1533" max="1533" width="18.42578125" style="76" customWidth="1"/>
    <col min="1534" max="1535" width="13.140625" style="76" customWidth="1"/>
    <col min="1536" max="1536" width="10.7109375" style="76" customWidth="1"/>
    <col min="1537" max="1537" width="40.85546875" style="76" customWidth="1"/>
    <col min="1538" max="1538" width="34.140625" style="76" customWidth="1"/>
    <col min="1539" max="1539" width="16" style="76" customWidth="1"/>
    <col min="1540" max="1540" width="15.7109375" style="76" customWidth="1"/>
    <col min="1541" max="1541" width="17.42578125" style="76" customWidth="1"/>
    <col min="1542" max="1542" width="10.7109375" style="76" customWidth="1"/>
    <col min="1543" max="1543" width="13" style="76" customWidth="1"/>
    <col min="1544" max="1544" width="16.7109375" style="76" customWidth="1"/>
    <col min="1545" max="1785" width="9.140625" style="76"/>
    <col min="1786" max="1786" width="35.5703125" style="76" customWidth="1"/>
    <col min="1787" max="1787" width="23" style="76" customWidth="1"/>
    <col min="1788" max="1788" width="17.7109375" style="76" customWidth="1"/>
    <col min="1789" max="1789" width="18.42578125" style="76" customWidth="1"/>
    <col min="1790" max="1791" width="13.140625" style="76" customWidth="1"/>
    <col min="1792" max="1792" width="10.7109375" style="76" customWidth="1"/>
    <col min="1793" max="1793" width="40.85546875" style="76" customWidth="1"/>
    <col min="1794" max="1794" width="34.140625" style="76" customWidth="1"/>
    <col min="1795" max="1795" width="16" style="76" customWidth="1"/>
    <col min="1796" max="1796" width="15.7109375" style="76" customWidth="1"/>
    <col min="1797" max="1797" width="17.42578125" style="76" customWidth="1"/>
    <col min="1798" max="1798" width="10.7109375" style="76" customWidth="1"/>
    <col min="1799" max="1799" width="13" style="76" customWidth="1"/>
    <col min="1800" max="1800" width="16.7109375" style="76" customWidth="1"/>
    <col min="1801" max="2041" width="9.140625" style="76"/>
    <col min="2042" max="2042" width="35.5703125" style="76" customWidth="1"/>
    <col min="2043" max="2043" width="23" style="76" customWidth="1"/>
    <col min="2044" max="2044" width="17.7109375" style="76" customWidth="1"/>
    <col min="2045" max="2045" width="18.42578125" style="76" customWidth="1"/>
    <col min="2046" max="2047" width="13.140625" style="76" customWidth="1"/>
    <col min="2048" max="2048" width="10.7109375" style="76" customWidth="1"/>
    <col min="2049" max="2049" width="40.85546875" style="76" customWidth="1"/>
    <col min="2050" max="2050" width="34.140625" style="76" customWidth="1"/>
    <col min="2051" max="2051" width="16" style="76" customWidth="1"/>
    <col min="2052" max="2052" width="15.7109375" style="76" customWidth="1"/>
    <col min="2053" max="2053" width="17.42578125" style="76" customWidth="1"/>
    <col min="2054" max="2054" width="10.7109375" style="76" customWidth="1"/>
    <col min="2055" max="2055" width="13" style="76" customWidth="1"/>
    <col min="2056" max="2056" width="16.7109375" style="76" customWidth="1"/>
    <col min="2057" max="2297" width="9.140625" style="76"/>
    <col min="2298" max="2298" width="35.5703125" style="76" customWidth="1"/>
    <col min="2299" max="2299" width="23" style="76" customWidth="1"/>
    <col min="2300" max="2300" width="17.7109375" style="76" customWidth="1"/>
    <col min="2301" max="2301" width="18.42578125" style="76" customWidth="1"/>
    <col min="2302" max="2303" width="13.140625" style="76" customWidth="1"/>
    <col min="2304" max="2304" width="10.7109375" style="76" customWidth="1"/>
    <col min="2305" max="2305" width="40.85546875" style="76" customWidth="1"/>
    <col min="2306" max="2306" width="34.140625" style="76" customWidth="1"/>
    <col min="2307" max="2307" width="16" style="76" customWidth="1"/>
    <col min="2308" max="2308" width="15.7109375" style="76" customWidth="1"/>
    <col min="2309" max="2309" width="17.42578125" style="76" customWidth="1"/>
    <col min="2310" max="2310" width="10.7109375" style="76" customWidth="1"/>
    <col min="2311" max="2311" width="13" style="76" customWidth="1"/>
    <col min="2312" max="2312" width="16.7109375" style="76" customWidth="1"/>
    <col min="2313" max="2553" width="9.140625" style="76"/>
    <col min="2554" max="2554" width="35.5703125" style="76" customWidth="1"/>
    <col min="2555" max="2555" width="23" style="76" customWidth="1"/>
    <col min="2556" max="2556" width="17.7109375" style="76" customWidth="1"/>
    <col min="2557" max="2557" width="18.42578125" style="76" customWidth="1"/>
    <col min="2558" max="2559" width="13.140625" style="76" customWidth="1"/>
    <col min="2560" max="2560" width="10.7109375" style="76" customWidth="1"/>
    <col min="2561" max="2561" width="40.85546875" style="76" customWidth="1"/>
    <col min="2562" max="2562" width="34.140625" style="76" customWidth="1"/>
    <col min="2563" max="2563" width="16" style="76" customWidth="1"/>
    <col min="2564" max="2564" width="15.7109375" style="76" customWidth="1"/>
    <col min="2565" max="2565" width="17.42578125" style="76" customWidth="1"/>
    <col min="2566" max="2566" width="10.7109375" style="76" customWidth="1"/>
    <col min="2567" max="2567" width="13" style="76" customWidth="1"/>
    <col min="2568" max="2568" width="16.7109375" style="76" customWidth="1"/>
    <col min="2569" max="2809" width="9.140625" style="76"/>
    <col min="2810" max="2810" width="35.5703125" style="76" customWidth="1"/>
    <col min="2811" max="2811" width="23" style="76" customWidth="1"/>
    <col min="2812" max="2812" width="17.7109375" style="76" customWidth="1"/>
    <col min="2813" max="2813" width="18.42578125" style="76" customWidth="1"/>
    <col min="2814" max="2815" width="13.140625" style="76" customWidth="1"/>
    <col min="2816" max="2816" width="10.7109375" style="76" customWidth="1"/>
    <col min="2817" max="2817" width="40.85546875" style="76" customWidth="1"/>
    <col min="2818" max="2818" width="34.140625" style="76" customWidth="1"/>
    <col min="2819" max="2819" width="16" style="76" customWidth="1"/>
    <col min="2820" max="2820" width="15.7109375" style="76" customWidth="1"/>
    <col min="2821" max="2821" width="17.42578125" style="76" customWidth="1"/>
    <col min="2822" max="2822" width="10.7109375" style="76" customWidth="1"/>
    <col min="2823" max="2823" width="13" style="76" customWidth="1"/>
    <col min="2824" max="2824" width="16.7109375" style="76" customWidth="1"/>
    <col min="2825" max="3065" width="9.140625" style="76"/>
    <col min="3066" max="3066" width="35.5703125" style="76" customWidth="1"/>
    <col min="3067" max="3067" width="23" style="76" customWidth="1"/>
    <col min="3068" max="3068" width="17.7109375" style="76" customWidth="1"/>
    <col min="3069" max="3069" width="18.42578125" style="76" customWidth="1"/>
    <col min="3070" max="3071" width="13.140625" style="76" customWidth="1"/>
    <col min="3072" max="3072" width="10.7109375" style="76" customWidth="1"/>
    <col min="3073" max="3073" width="40.85546875" style="76" customWidth="1"/>
    <col min="3074" max="3074" width="34.140625" style="76" customWidth="1"/>
    <col min="3075" max="3075" width="16" style="76" customWidth="1"/>
    <col min="3076" max="3076" width="15.7109375" style="76" customWidth="1"/>
    <col min="3077" max="3077" width="17.42578125" style="76" customWidth="1"/>
    <col min="3078" max="3078" width="10.7109375" style="76" customWidth="1"/>
    <col min="3079" max="3079" width="13" style="76" customWidth="1"/>
    <col min="3080" max="3080" width="16.7109375" style="76" customWidth="1"/>
    <col min="3081" max="3321" width="9.140625" style="76"/>
    <col min="3322" max="3322" width="35.5703125" style="76" customWidth="1"/>
    <col min="3323" max="3323" width="23" style="76" customWidth="1"/>
    <col min="3324" max="3324" width="17.7109375" style="76" customWidth="1"/>
    <col min="3325" max="3325" width="18.42578125" style="76" customWidth="1"/>
    <col min="3326" max="3327" width="13.140625" style="76" customWidth="1"/>
    <col min="3328" max="3328" width="10.7109375" style="76" customWidth="1"/>
    <col min="3329" max="3329" width="40.85546875" style="76" customWidth="1"/>
    <col min="3330" max="3330" width="34.140625" style="76" customWidth="1"/>
    <col min="3331" max="3331" width="16" style="76" customWidth="1"/>
    <col min="3332" max="3332" width="15.7109375" style="76" customWidth="1"/>
    <col min="3333" max="3333" width="17.42578125" style="76" customWidth="1"/>
    <col min="3334" max="3334" width="10.7109375" style="76" customWidth="1"/>
    <col min="3335" max="3335" width="13" style="76" customWidth="1"/>
    <col min="3336" max="3336" width="16.7109375" style="76" customWidth="1"/>
    <col min="3337" max="3577" width="9.140625" style="76"/>
    <col min="3578" max="3578" width="35.5703125" style="76" customWidth="1"/>
    <col min="3579" max="3579" width="23" style="76" customWidth="1"/>
    <col min="3580" max="3580" width="17.7109375" style="76" customWidth="1"/>
    <col min="3581" max="3581" width="18.42578125" style="76" customWidth="1"/>
    <col min="3582" max="3583" width="13.140625" style="76" customWidth="1"/>
    <col min="3584" max="3584" width="10.7109375" style="76" customWidth="1"/>
    <col min="3585" max="3585" width="40.85546875" style="76" customWidth="1"/>
    <col min="3586" max="3586" width="34.140625" style="76" customWidth="1"/>
    <col min="3587" max="3587" width="16" style="76" customWidth="1"/>
    <col min="3588" max="3588" width="15.7109375" style="76" customWidth="1"/>
    <col min="3589" max="3589" width="17.42578125" style="76" customWidth="1"/>
    <col min="3590" max="3590" width="10.7109375" style="76" customWidth="1"/>
    <col min="3591" max="3591" width="13" style="76" customWidth="1"/>
    <col min="3592" max="3592" width="16.7109375" style="76" customWidth="1"/>
    <col min="3593" max="3833" width="9.140625" style="76"/>
    <col min="3834" max="3834" width="35.5703125" style="76" customWidth="1"/>
    <col min="3835" max="3835" width="23" style="76" customWidth="1"/>
    <col min="3836" max="3836" width="17.7109375" style="76" customWidth="1"/>
    <col min="3837" max="3837" width="18.42578125" style="76" customWidth="1"/>
    <col min="3838" max="3839" width="13.140625" style="76" customWidth="1"/>
    <col min="3840" max="3840" width="10.7109375" style="76" customWidth="1"/>
    <col min="3841" max="3841" width="40.85546875" style="76" customWidth="1"/>
    <col min="3842" max="3842" width="34.140625" style="76" customWidth="1"/>
    <col min="3843" max="3843" width="16" style="76" customWidth="1"/>
    <col min="3844" max="3844" width="15.7109375" style="76" customWidth="1"/>
    <col min="3845" max="3845" width="17.42578125" style="76" customWidth="1"/>
    <col min="3846" max="3846" width="10.7109375" style="76" customWidth="1"/>
    <col min="3847" max="3847" width="13" style="76" customWidth="1"/>
    <col min="3848" max="3848" width="16.7109375" style="76" customWidth="1"/>
    <col min="3849" max="4089" width="9.140625" style="76"/>
    <col min="4090" max="4090" width="35.5703125" style="76" customWidth="1"/>
    <col min="4091" max="4091" width="23" style="76" customWidth="1"/>
    <col min="4092" max="4092" width="17.7109375" style="76" customWidth="1"/>
    <col min="4093" max="4093" width="18.42578125" style="76" customWidth="1"/>
    <col min="4094" max="4095" width="13.140625" style="76" customWidth="1"/>
    <col min="4096" max="4096" width="10.7109375" style="76" customWidth="1"/>
    <col min="4097" max="4097" width="40.85546875" style="76" customWidth="1"/>
    <col min="4098" max="4098" width="34.140625" style="76" customWidth="1"/>
    <col min="4099" max="4099" width="16" style="76" customWidth="1"/>
    <col min="4100" max="4100" width="15.7109375" style="76" customWidth="1"/>
    <col min="4101" max="4101" width="17.42578125" style="76" customWidth="1"/>
    <col min="4102" max="4102" width="10.7109375" style="76" customWidth="1"/>
    <col min="4103" max="4103" width="13" style="76" customWidth="1"/>
    <col min="4104" max="4104" width="16.7109375" style="76" customWidth="1"/>
    <col min="4105" max="4345" width="9.140625" style="76"/>
    <col min="4346" max="4346" width="35.5703125" style="76" customWidth="1"/>
    <col min="4347" max="4347" width="23" style="76" customWidth="1"/>
    <col min="4348" max="4348" width="17.7109375" style="76" customWidth="1"/>
    <col min="4349" max="4349" width="18.42578125" style="76" customWidth="1"/>
    <col min="4350" max="4351" width="13.140625" style="76" customWidth="1"/>
    <col min="4352" max="4352" width="10.7109375" style="76" customWidth="1"/>
    <col min="4353" max="4353" width="40.85546875" style="76" customWidth="1"/>
    <col min="4354" max="4354" width="34.140625" style="76" customWidth="1"/>
    <col min="4355" max="4355" width="16" style="76" customWidth="1"/>
    <col min="4356" max="4356" width="15.7109375" style="76" customWidth="1"/>
    <col min="4357" max="4357" width="17.42578125" style="76" customWidth="1"/>
    <col min="4358" max="4358" width="10.7109375" style="76" customWidth="1"/>
    <col min="4359" max="4359" width="13" style="76" customWidth="1"/>
    <col min="4360" max="4360" width="16.7109375" style="76" customWidth="1"/>
    <col min="4361" max="4601" width="9.140625" style="76"/>
    <col min="4602" max="4602" width="35.5703125" style="76" customWidth="1"/>
    <col min="4603" max="4603" width="23" style="76" customWidth="1"/>
    <col min="4604" max="4604" width="17.7109375" style="76" customWidth="1"/>
    <col min="4605" max="4605" width="18.42578125" style="76" customWidth="1"/>
    <col min="4606" max="4607" width="13.140625" style="76" customWidth="1"/>
    <col min="4608" max="4608" width="10.7109375" style="76" customWidth="1"/>
    <col min="4609" max="4609" width="40.85546875" style="76" customWidth="1"/>
    <col min="4610" max="4610" width="34.140625" style="76" customWidth="1"/>
    <col min="4611" max="4611" width="16" style="76" customWidth="1"/>
    <col min="4612" max="4612" width="15.7109375" style="76" customWidth="1"/>
    <col min="4613" max="4613" width="17.42578125" style="76" customWidth="1"/>
    <col min="4614" max="4614" width="10.7109375" style="76" customWidth="1"/>
    <col min="4615" max="4615" width="13" style="76" customWidth="1"/>
    <col min="4616" max="4616" width="16.7109375" style="76" customWidth="1"/>
    <col min="4617" max="4857" width="9.140625" style="76"/>
    <col min="4858" max="4858" width="35.5703125" style="76" customWidth="1"/>
    <col min="4859" max="4859" width="23" style="76" customWidth="1"/>
    <col min="4860" max="4860" width="17.7109375" style="76" customWidth="1"/>
    <col min="4861" max="4861" width="18.42578125" style="76" customWidth="1"/>
    <col min="4862" max="4863" width="13.140625" style="76" customWidth="1"/>
    <col min="4864" max="4864" width="10.7109375" style="76" customWidth="1"/>
    <col min="4865" max="4865" width="40.85546875" style="76" customWidth="1"/>
    <col min="4866" max="4866" width="34.140625" style="76" customWidth="1"/>
    <col min="4867" max="4867" width="16" style="76" customWidth="1"/>
    <col min="4868" max="4868" width="15.7109375" style="76" customWidth="1"/>
    <col min="4869" max="4869" width="17.42578125" style="76" customWidth="1"/>
    <col min="4870" max="4870" width="10.7109375" style="76" customWidth="1"/>
    <col min="4871" max="4871" width="13" style="76" customWidth="1"/>
    <col min="4872" max="4872" width="16.7109375" style="76" customWidth="1"/>
    <col min="4873" max="5113" width="9.140625" style="76"/>
    <col min="5114" max="5114" width="35.5703125" style="76" customWidth="1"/>
    <col min="5115" max="5115" width="23" style="76" customWidth="1"/>
    <col min="5116" max="5116" width="17.7109375" style="76" customWidth="1"/>
    <col min="5117" max="5117" width="18.42578125" style="76" customWidth="1"/>
    <col min="5118" max="5119" width="13.140625" style="76" customWidth="1"/>
    <col min="5120" max="5120" width="10.7109375" style="76" customWidth="1"/>
    <col min="5121" max="5121" width="40.85546875" style="76" customWidth="1"/>
    <col min="5122" max="5122" width="34.140625" style="76" customWidth="1"/>
    <col min="5123" max="5123" width="16" style="76" customWidth="1"/>
    <col min="5124" max="5124" width="15.7109375" style="76" customWidth="1"/>
    <col min="5125" max="5125" width="17.42578125" style="76" customWidth="1"/>
    <col min="5126" max="5126" width="10.7109375" style="76" customWidth="1"/>
    <col min="5127" max="5127" width="13" style="76" customWidth="1"/>
    <col min="5128" max="5128" width="16.7109375" style="76" customWidth="1"/>
    <col min="5129" max="5369" width="9.140625" style="76"/>
    <col min="5370" max="5370" width="35.5703125" style="76" customWidth="1"/>
    <col min="5371" max="5371" width="23" style="76" customWidth="1"/>
    <col min="5372" max="5372" width="17.7109375" style="76" customWidth="1"/>
    <col min="5373" max="5373" width="18.42578125" style="76" customWidth="1"/>
    <col min="5374" max="5375" width="13.140625" style="76" customWidth="1"/>
    <col min="5376" max="5376" width="10.7109375" style="76" customWidth="1"/>
    <col min="5377" max="5377" width="40.85546875" style="76" customWidth="1"/>
    <col min="5378" max="5378" width="34.140625" style="76" customWidth="1"/>
    <col min="5379" max="5379" width="16" style="76" customWidth="1"/>
    <col min="5380" max="5380" width="15.7109375" style="76" customWidth="1"/>
    <col min="5381" max="5381" width="17.42578125" style="76" customWidth="1"/>
    <col min="5382" max="5382" width="10.7109375" style="76" customWidth="1"/>
    <col min="5383" max="5383" width="13" style="76" customWidth="1"/>
    <col min="5384" max="5384" width="16.7109375" style="76" customWidth="1"/>
    <col min="5385" max="5625" width="9.140625" style="76"/>
    <col min="5626" max="5626" width="35.5703125" style="76" customWidth="1"/>
    <col min="5627" max="5627" width="23" style="76" customWidth="1"/>
    <col min="5628" max="5628" width="17.7109375" style="76" customWidth="1"/>
    <col min="5629" max="5629" width="18.42578125" style="76" customWidth="1"/>
    <col min="5630" max="5631" width="13.140625" style="76" customWidth="1"/>
    <col min="5632" max="5632" width="10.7109375" style="76" customWidth="1"/>
    <col min="5633" max="5633" width="40.85546875" style="76" customWidth="1"/>
    <col min="5634" max="5634" width="34.140625" style="76" customWidth="1"/>
    <col min="5635" max="5635" width="16" style="76" customWidth="1"/>
    <col min="5636" max="5636" width="15.7109375" style="76" customWidth="1"/>
    <col min="5637" max="5637" width="17.42578125" style="76" customWidth="1"/>
    <col min="5638" max="5638" width="10.7109375" style="76" customWidth="1"/>
    <col min="5639" max="5639" width="13" style="76" customWidth="1"/>
    <col min="5640" max="5640" width="16.7109375" style="76" customWidth="1"/>
    <col min="5641" max="5881" width="9.140625" style="76"/>
    <col min="5882" max="5882" width="35.5703125" style="76" customWidth="1"/>
    <col min="5883" max="5883" width="23" style="76" customWidth="1"/>
    <col min="5884" max="5884" width="17.7109375" style="76" customWidth="1"/>
    <col min="5885" max="5885" width="18.42578125" style="76" customWidth="1"/>
    <col min="5886" max="5887" width="13.140625" style="76" customWidth="1"/>
    <col min="5888" max="5888" width="10.7109375" style="76" customWidth="1"/>
    <col min="5889" max="5889" width="40.85546875" style="76" customWidth="1"/>
    <col min="5890" max="5890" width="34.140625" style="76" customWidth="1"/>
    <col min="5891" max="5891" width="16" style="76" customWidth="1"/>
    <col min="5892" max="5892" width="15.7109375" style="76" customWidth="1"/>
    <col min="5893" max="5893" width="17.42578125" style="76" customWidth="1"/>
    <col min="5894" max="5894" width="10.7109375" style="76" customWidth="1"/>
    <col min="5895" max="5895" width="13" style="76" customWidth="1"/>
    <col min="5896" max="5896" width="16.7109375" style="76" customWidth="1"/>
    <col min="5897" max="6137" width="9.140625" style="76"/>
    <col min="6138" max="6138" width="35.5703125" style="76" customWidth="1"/>
    <col min="6139" max="6139" width="23" style="76" customWidth="1"/>
    <col min="6140" max="6140" width="17.7109375" style="76" customWidth="1"/>
    <col min="6141" max="6141" width="18.42578125" style="76" customWidth="1"/>
    <col min="6142" max="6143" width="13.140625" style="76" customWidth="1"/>
    <col min="6144" max="6144" width="10.7109375" style="76" customWidth="1"/>
    <col min="6145" max="6145" width="40.85546875" style="76" customWidth="1"/>
    <col min="6146" max="6146" width="34.140625" style="76" customWidth="1"/>
    <col min="6147" max="6147" width="16" style="76" customWidth="1"/>
    <col min="6148" max="6148" width="15.7109375" style="76" customWidth="1"/>
    <col min="6149" max="6149" width="17.42578125" style="76" customWidth="1"/>
    <col min="6150" max="6150" width="10.7109375" style="76" customWidth="1"/>
    <col min="6151" max="6151" width="13" style="76" customWidth="1"/>
    <col min="6152" max="6152" width="16.7109375" style="76" customWidth="1"/>
    <col min="6153" max="6393" width="9.140625" style="76"/>
    <col min="6394" max="6394" width="35.5703125" style="76" customWidth="1"/>
    <col min="6395" max="6395" width="23" style="76" customWidth="1"/>
    <col min="6396" max="6396" width="17.7109375" style="76" customWidth="1"/>
    <col min="6397" max="6397" width="18.42578125" style="76" customWidth="1"/>
    <col min="6398" max="6399" width="13.140625" style="76" customWidth="1"/>
    <col min="6400" max="6400" width="10.7109375" style="76" customWidth="1"/>
    <col min="6401" max="6401" width="40.85546875" style="76" customWidth="1"/>
    <col min="6402" max="6402" width="34.140625" style="76" customWidth="1"/>
    <col min="6403" max="6403" width="16" style="76" customWidth="1"/>
    <col min="6404" max="6404" width="15.7109375" style="76" customWidth="1"/>
    <col min="6405" max="6405" width="17.42578125" style="76" customWidth="1"/>
    <col min="6406" max="6406" width="10.7109375" style="76" customWidth="1"/>
    <col min="6407" max="6407" width="13" style="76" customWidth="1"/>
    <col min="6408" max="6408" width="16.7109375" style="76" customWidth="1"/>
    <col min="6409" max="6649" width="9.140625" style="76"/>
    <col min="6650" max="6650" width="35.5703125" style="76" customWidth="1"/>
    <col min="6651" max="6651" width="23" style="76" customWidth="1"/>
    <col min="6652" max="6652" width="17.7109375" style="76" customWidth="1"/>
    <col min="6653" max="6653" width="18.42578125" style="76" customWidth="1"/>
    <col min="6654" max="6655" width="13.140625" style="76" customWidth="1"/>
    <col min="6656" max="6656" width="10.7109375" style="76" customWidth="1"/>
    <col min="6657" max="6657" width="40.85546875" style="76" customWidth="1"/>
    <col min="6658" max="6658" width="34.140625" style="76" customWidth="1"/>
    <col min="6659" max="6659" width="16" style="76" customWidth="1"/>
    <col min="6660" max="6660" width="15.7109375" style="76" customWidth="1"/>
    <col min="6661" max="6661" width="17.42578125" style="76" customWidth="1"/>
    <col min="6662" max="6662" width="10.7109375" style="76" customWidth="1"/>
    <col min="6663" max="6663" width="13" style="76" customWidth="1"/>
    <col min="6664" max="6664" width="16.7109375" style="76" customWidth="1"/>
    <col min="6665" max="6905" width="9.140625" style="76"/>
    <col min="6906" max="6906" width="35.5703125" style="76" customWidth="1"/>
    <col min="6907" max="6907" width="23" style="76" customWidth="1"/>
    <col min="6908" max="6908" width="17.7109375" style="76" customWidth="1"/>
    <col min="6909" max="6909" width="18.42578125" style="76" customWidth="1"/>
    <col min="6910" max="6911" width="13.140625" style="76" customWidth="1"/>
    <col min="6912" max="6912" width="10.7109375" style="76" customWidth="1"/>
    <col min="6913" max="6913" width="40.85546875" style="76" customWidth="1"/>
    <col min="6914" max="6914" width="34.140625" style="76" customWidth="1"/>
    <col min="6915" max="6915" width="16" style="76" customWidth="1"/>
    <col min="6916" max="6916" width="15.7109375" style="76" customWidth="1"/>
    <col min="6917" max="6917" width="17.42578125" style="76" customWidth="1"/>
    <col min="6918" max="6918" width="10.7109375" style="76" customWidth="1"/>
    <col min="6919" max="6919" width="13" style="76" customWidth="1"/>
    <col min="6920" max="6920" width="16.7109375" style="76" customWidth="1"/>
    <col min="6921" max="7161" width="9.140625" style="76"/>
    <col min="7162" max="7162" width="35.5703125" style="76" customWidth="1"/>
    <col min="7163" max="7163" width="23" style="76" customWidth="1"/>
    <col min="7164" max="7164" width="17.7109375" style="76" customWidth="1"/>
    <col min="7165" max="7165" width="18.42578125" style="76" customWidth="1"/>
    <col min="7166" max="7167" width="13.140625" style="76" customWidth="1"/>
    <col min="7168" max="7168" width="10.7109375" style="76" customWidth="1"/>
    <col min="7169" max="7169" width="40.85546875" style="76" customWidth="1"/>
    <col min="7170" max="7170" width="34.140625" style="76" customWidth="1"/>
    <col min="7171" max="7171" width="16" style="76" customWidth="1"/>
    <col min="7172" max="7172" width="15.7109375" style="76" customWidth="1"/>
    <col min="7173" max="7173" width="17.42578125" style="76" customWidth="1"/>
    <col min="7174" max="7174" width="10.7109375" style="76" customWidth="1"/>
    <col min="7175" max="7175" width="13" style="76" customWidth="1"/>
    <col min="7176" max="7176" width="16.7109375" style="76" customWidth="1"/>
    <col min="7177" max="7417" width="9.140625" style="76"/>
    <col min="7418" max="7418" width="35.5703125" style="76" customWidth="1"/>
    <col min="7419" max="7419" width="23" style="76" customWidth="1"/>
    <col min="7420" max="7420" width="17.7109375" style="76" customWidth="1"/>
    <col min="7421" max="7421" width="18.42578125" style="76" customWidth="1"/>
    <col min="7422" max="7423" width="13.140625" style="76" customWidth="1"/>
    <col min="7424" max="7424" width="10.7109375" style="76" customWidth="1"/>
    <col min="7425" max="7425" width="40.85546875" style="76" customWidth="1"/>
    <col min="7426" max="7426" width="34.140625" style="76" customWidth="1"/>
    <col min="7427" max="7427" width="16" style="76" customWidth="1"/>
    <col min="7428" max="7428" width="15.7109375" style="76" customWidth="1"/>
    <col min="7429" max="7429" width="17.42578125" style="76" customWidth="1"/>
    <col min="7430" max="7430" width="10.7109375" style="76" customWidth="1"/>
    <col min="7431" max="7431" width="13" style="76" customWidth="1"/>
    <col min="7432" max="7432" width="16.7109375" style="76" customWidth="1"/>
    <col min="7433" max="7673" width="9.140625" style="76"/>
    <col min="7674" max="7674" width="35.5703125" style="76" customWidth="1"/>
    <col min="7675" max="7675" width="23" style="76" customWidth="1"/>
    <col min="7676" max="7676" width="17.7109375" style="76" customWidth="1"/>
    <col min="7677" max="7677" width="18.42578125" style="76" customWidth="1"/>
    <col min="7678" max="7679" width="13.140625" style="76" customWidth="1"/>
    <col min="7680" max="7680" width="10.7109375" style="76" customWidth="1"/>
    <col min="7681" max="7681" width="40.85546875" style="76" customWidth="1"/>
    <col min="7682" max="7682" width="34.140625" style="76" customWidth="1"/>
    <col min="7683" max="7683" width="16" style="76" customWidth="1"/>
    <col min="7684" max="7684" width="15.7109375" style="76" customWidth="1"/>
    <col min="7685" max="7685" width="17.42578125" style="76" customWidth="1"/>
    <col min="7686" max="7686" width="10.7109375" style="76" customWidth="1"/>
    <col min="7687" max="7687" width="13" style="76" customWidth="1"/>
    <col min="7688" max="7688" width="16.7109375" style="76" customWidth="1"/>
    <col min="7689" max="7929" width="9.140625" style="76"/>
    <col min="7930" max="7930" width="35.5703125" style="76" customWidth="1"/>
    <col min="7931" max="7931" width="23" style="76" customWidth="1"/>
    <col min="7932" max="7932" width="17.7109375" style="76" customWidth="1"/>
    <col min="7933" max="7933" width="18.42578125" style="76" customWidth="1"/>
    <col min="7934" max="7935" width="13.140625" style="76" customWidth="1"/>
    <col min="7936" max="7936" width="10.7109375" style="76" customWidth="1"/>
    <col min="7937" max="7937" width="40.85546875" style="76" customWidth="1"/>
    <col min="7938" max="7938" width="34.140625" style="76" customWidth="1"/>
    <col min="7939" max="7939" width="16" style="76" customWidth="1"/>
    <col min="7940" max="7940" width="15.7109375" style="76" customWidth="1"/>
    <col min="7941" max="7941" width="17.42578125" style="76" customWidth="1"/>
    <col min="7942" max="7942" width="10.7109375" style="76" customWidth="1"/>
    <col min="7943" max="7943" width="13" style="76" customWidth="1"/>
    <col min="7944" max="7944" width="16.7109375" style="76" customWidth="1"/>
    <col min="7945" max="8185" width="9.140625" style="76"/>
    <col min="8186" max="8186" width="35.5703125" style="76" customWidth="1"/>
    <col min="8187" max="8187" width="23" style="76" customWidth="1"/>
    <col min="8188" max="8188" width="17.7109375" style="76" customWidth="1"/>
    <col min="8189" max="8189" width="18.42578125" style="76" customWidth="1"/>
    <col min="8190" max="8191" width="13.140625" style="76" customWidth="1"/>
    <col min="8192" max="8192" width="10.7109375" style="76" customWidth="1"/>
    <col min="8193" max="8193" width="40.85546875" style="76" customWidth="1"/>
    <col min="8194" max="8194" width="34.140625" style="76" customWidth="1"/>
    <col min="8195" max="8195" width="16" style="76" customWidth="1"/>
    <col min="8196" max="8196" width="15.7109375" style="76" customWidth="1"/>
    <col min="8197" max="8197" width="17.42578125" style="76" customWidth="1"/>
    <col min="8198" max="8198" width="10.7109375" style="76" customWidth="1"/>
    <col min="8199" max="8199" width="13" style="76" customWidth="1"/>
    <col min="8200" max="8200" width="16.7109375" style="76" customWidth="1"/>
    <col min="8201" max="8441" width="9.140625" style="76"/>
    <col min="8442" max="8442" width="35.5703125" style="76" customWidth="1"/>
    <col min="8443" max="8443" width="23" style="76" customWidth="1"/>
    <col min="8444" max="8444" width="17.7109375" style="76" customWidth="1"/>
    <col min="8445" max="8445" width="18.42578125" style="76" customWidth="1"/>
    <col min="8446" max="8447" width="13.140625" style="76" customWidth="1"/>
    <col min="8448" max="8448" width="10.7109375" style="76" customWidth="1"/>
    <col min="8449" max="8449" width="40.85546875" style="76" customWidth="1"/>
    <col min="8450" max="8450" width="34.140625" style="76" customWidth="1"/>
    <col min="8451" max="8451" width="16" style="76" customWidth="1"/>
    <col min="8452" max="8452" width="15.7109375" style="76" customWidth="1"/>
    <col min="8453" max="8453" width="17.42578125" style="76" customWidth="1"/>
    <col min="8454" max="8454" width="10.7109375" style="76" customWidth="1"/>
    <col min="8455" max="8455" width="13" style="76" customWidth="1"/>
    <col min="8456" max="8456" width="16.7109375" style="76" customWidth="1"/>
    <col min="8457" max="8697" width="9.140625" style="76"/>
    <col min="8698" max="8698" width="35.5703125" style="76" customWidth="1"/>
    <col min="8699" max="8699" width="23" style="76" customWidth="1"/>
    <col min="8700" max="8700" width="17.7109375" style="76" customWidth="1"/>
    <col min="8701" max="8701" width="18.42578125" style="76" customWidth="1"/>
    <col min="8702" max="8703" width="13.140625" style="76" customWidth="1"/>
    <col min="8704" max="8704" width="10.7109375" style="76" customWidth="1"/>
    <col min="8705" max="8705" width="40.85546875" style="76" customWidth="1"/>
    <col min="8706" max="8706" width="34.140625" style="76" customWidth="1"/>
    <col min="8707" max="8707" width="16" style="76" customWidth="1"/>
    <col min="8708" max="8708" width="15.7109375" style="76" customWidth="1"/>
    <col min="8709" max="8709" width="17.42578125" style="76" customWidth="1"/>
    <col min="8710" max="8710" width="10.7109375" style="76" customWidth="1"/>
    <col min="8711" max="8711" width="13" style="76" customWidth="1"/>
    <col min="8712" max="8712" width="16.7109375" style="76" customWidth="1"/>
    <col min="8713" max="8953" width="9.140625" style="76"/>
    <col min="8954" max="8954" width="35.5703125" style="76" customWidth="1"/>
    <col min="8955" max="8955" width="23" style="76" customWidth="1"/>
    <col min="8956" max="8956" width="17.7109375" style="76" customWidth="1"/>
    <col min="8957" max="8957" width="18.42578125" style="76" customWidth="1"/>
    <col min="8958" max="8959" width="13.140625" style="76" customWidth="1"/>
    <col min="8960" max="8960" width="10.7109375" style="76" customWidth="1"/>
    <col min="8961" max="8961" width="40.85546875" style="76" customWidth="1"/>
    <col min="8962" max="8962" width="34.140625" style="76" customWidth="1"/>
    <col min="8963" max="8963" width="16" style="76" customWidth="1"/>
    <col min="8964" max="8964" width="15.7109375" style="76" customWidth="1"/>
    <col min="8965" max="8965" width="17.42578125" style="76" customWidth="1"/>
    <col min="8966" max="8966" width="10.7109375" style="76" customWidth="1"/>
    <col min="8967" max="8967" width="13" style="76" customWidth="1"/>
    <col min="8968" max="8968" width="16.7109375" style="76" customWidth="1"/>
    <col min="8969" max="9209" width="9.140625" style="76"/>
    <col min="9210" max="9210" width="35.5703125" style="76" customWidth="1"/>
    <col min="9211" max="9211" width="23" style="76" customWidth="1"/>
    <col min="9212" max="9212" width="17.7109375" style="76" customWidth="1"/>
    <col min="9213" max="9213" width="18.42578125" style="76" customWidth="1"/>
    <col min="9214" max="9215" width="13.140625" style="76" customWidth="1"/>
    <col min="9216" max="9216" width="10.7109375" style="76" customWidth="1"/>
    <col min="9217" max="9217" width="40.85546875" style="76" customWidth="1"/>
    <col min="9218" max="9218" width="34.140625" style="76" customWidth="1"/>
    <col min="9219" max="9219" width="16" style="76" customWidth="1"/>
    <col min="9220" max="9220" width="15.7109375" style="76" customWidth="1"/>
    <col min="9221" max="9221" width="17.42578125" style="76" customWidth="1"/>
    <col min="9222" max="9222" width="10.7109375" style="76" customWidth="1"/>
    <col min="9223" max="9223" width="13" style="76" customWidth="1"/>
    <col min="9224" max="9224" width="16.7109375" style="76" customWidth="1"/>
    <col min="9225" max="9465" width="9.140625" style="76"/>
    <col min="9466" max="9466" width="35.5703125" style="76" customWidth="1"/>
    <col min="9467" max="9467" width="23" style="76" customWidth="1"/>
    <col min="9468" max="9468" width="17.7109375" style="76" customWidth="1"/>
    <col min="9469" max="9469" width="18.42578125" style="76" customWidth="1"/>
    <col min="9470" max="9471" width="13.140625" style="76" customWidth="1"/>
    <col min="9472" max="9472" width="10.7109375" style="76" customWidth="1"/>
    <col min="9473" max="9473" width="40.85546875" style="76" customWidth="1"/>
    <col min="9474" max="9474" width="34.140625" style="76" customWidth="1"/>
    <col min="9475" max="9475" width="16" style="76" customWidth="1"/>
    <col min="9476" max="9476" width="15.7109375" style="76" customWidth="1"/>
    <col min="9477" max="9477" width="17.42578125" style="76" customWidth="1"/>
    <col min="9478" max="9478" width="10.7109375" style="76" customWidth="1"/>
    <col min="9479" max="9479" width="13" style="76" customWidth="1"/>
    <col min="9480" max="9480" width="16.7109375" style="76" customWidth="1"/>
    <col min="9481" max="9721" width="9.140625" style="76"/>
    <col min="9722" max="9722" width="35.5703125" style="76" customWidth="1"/>
    <col min="9723" max="9723" width="23" style="76" customWidth="1"/>
    <col min="9724" max="9724" width="17.7109375" style="76" customWidth="1"/>
    <col min="9725" max="9725" width="18.42578125" style="76" customWidth="1"/>
    <col min="9726" max="9727" width="13.140625" style="76" customWidth="1"/>
    <col min="9728" max="9728" width="10.7109375" style="76" customWidth="1"/>
    <col min="9729" max="9729" width="40.85546875" style="76" customWidth="1"/>
    <col min="9730" max="9730" width="34.140625" style="76" customWidth="1"/>
    <col min="9731" max="9731" width="16" style="76" customWidth="1"/>
    <col min="9732" max="9732" width="15.7109375" style="76" customWidth="1"/>
    <col min="9733" max="9733" width="17.42578125" style="76" customWidth="1"/>
    <col min="9734" max="9734" width="10.7109375" style="76" customWidth="1"/>
    <col min="9735" max="9735" width="13" style="76" customWidth="1"/>
    <col min="9736" max="9736" width="16.7109375" style="76" customWidth="1"/>
    <col min="9737" max="9977" width="9.140625" style="76"/>
    <col min="9978" max="9978" width="35.5703125" style="76" customWidth="1"/>
    <col min="9979" max="9979" width="23" style="76" customWidth="1"/>
    <col min="9980" max="9980" width="17.7109375" style="76" customWidth="1"/>
    <col min="9981" max="9981" width="18.42578125" style="76" customWidth="1"/>
    <col min="9982" max="9983" width="13.140625" style="76" customWidth="1"/>
    <col min="9984" max="9984" width="10.7109375" style="76" customWidth="1"/>
    <col min="9985" max="9985" width="40.85546875" style="76" customWidth="1"/>
    <col min="9986" max="9986" width="34.140625" style="76" customWidth="1"/>
    <col min="9987" max="9987" width="16" style="76" customWidth="1"/>
    <col min="9988" max="9988" width="15.7109375" style="76" customWidth="1"/>
    <col min="9989" max="9989" width="17.42578125" style="76" customWidth="1"/>
    <col min="9990" max="9990" width="10.7109375" style="76" customWidth="1"/>
    <col min="9991" max="9991" width="13" style="76" customWidth="1"/>
    <col min="9992" max="9992" width="16.7109375" style="76" customWidth="1"/>
    <col min="9993" max="10233" width="9.140625" style="76"/>
    <col min="10234" max="10234" width="35.5703125" style="76" customWidth="1"/>
    <col min="10235" max="10235" width="23" style="76" customWidth="1"/>
    <col min="10236" max="10236" width="17.7109375" style="76" customWidth="1"/>
    <col min="10237" max="10237" width="18.42578125" style="76" customWidth="1"/>
    <col min="10238" max="10239" width="13.140625" style="76" customWidth="1"/>
    <col min="10240" max="10240" width="10.7109375" style="76" customWidth="1"/>
    <col min="10241" max="10241" width="40.85546875" style="76" customWidth="1"/>
    <col min="10242" max="10242" width="34.140625" style="76" customWidth="1"/>
    <col min="10243" max="10243" width="16" style="76" customWidth="1"/>
    <col min="10244" max="10244" width="15.7109375" style="76" customWidth="1"/>
    <col min="10245" max="10245" width="17.42578125" style="76" customWidth="1"/>
    <col min="10246" max="10246" width="10.7109375" style="76" customWidth="1"/>
    <col min="10247" max="10247" width="13" style="76" customWidth="1"/>
    <col min="10248" max="10248" width="16.7109375" style="76" customWidth="1"/>
    <col min="10249" max="10489" width="9.140625" style="76"/>
    <col min="10490" max="10490" width="35.5703125" style="76" customWidth="1"/>
    <col min="10491" max="10491" width="23" style="76" customWidth="1"/>
    <col min="10492" max="10492" width="17.7109375" style="76" customWidth="1"/>
    <col min="10493" max="10493" width="18.42578125" style="76" customWidth="1"/>
    <col min="10494" max="10495" width="13.140625" style="76" customWidth="1"/>
    <col min="10496" max="10496" width="10.7109375" style="76" customWidth="1"/>
    <col min="10497" max="10497" width="40.85546875" style="76" customWidth="1"/>
    <col min="10498" max="10498" width="34.140625" style="76" customWidth="1"/>
    <col min="10499" max="10499" width="16" style="76" customWidth="1"/>
    <col min="10500" max="10500" width="15.7109375" style="76" customWidth="1"/>
    <col min="10501" max="10501" width="17.42578125" style="76" customWidth="1"/>
    <col min="10502" max="10502" width="10.7109375" style="76" customWidth="1"/>
    <col min="10503" max="10503" width="13" style="76" customWidth="1"/>
    <col min="10504" max="10504" width="16.7109375" style="76" customWidth="1"/>
    <col min="10505" max="10745" width="9.140625" style="76"/>
    <col min="10746" max="10746" width="35.5703125" style="76" customWidth="1"/>
    <col min="10747" max="10747" width="23" style="76" customWidth="1"/>
    <col min="10748" max="10748" width="17.7109375" style="76" customWidth="1"/>
    <col min="10749" max="10749" width="18.42578125" style="76" customWidth="1"/>
    <col min="10750" max="10751" width="13.140625" style="76" customWidth="1"/>
    <col min="10752" max="10752" width="10.7109375" style="76" customWidth="1"/>
    <col min="10753" max="10753" width="40.85546875" style="76" customWidth="1"/>
    <col min="10754" max="10754" width="34.140625" style="76" customWidth="1"/>
    <col min="10755" max="10755" width="16" style="76" customWidth="1"/>
    <col min="10756" max="10756" width="15.7109375" style="76" customWidth="1"/>
    <col min="10757" max="10757" width="17.42578125" style="76" customWidth="1"/>
    <col min="10758" max="10758" width="10.7109375" style="76" customWidth="1"/>
    <col min="10759" max="10759" width="13" style="76" customWidth="1"/>
    <col min="10760" max="10760" width="16.7109375" style="76" customWidth="1"/>
    <col min="10761" max="11001" width="9.140625" style="76"/>
    <col min="11002" max="11002" width="35.5703125" style="76" customWidth="1"/>
    <col min="11003" max="11003" width="23" style="76" customWidth="1"/>
    <col min="11004" max="11004" width="17.7109375" style="76" customWidth="1"/>
    <col min="11005" max="11005" width="18.42578125" style="76" customWidth="1"/>
    <col min="11006" max="11007" width="13.140625" style="76" customWidth="1"/>
    <col min="11008" max="11008" width="10.7109375" style="76" customWidth="1"/>
    <col min="11009" max="11009" width="40.85546875" style="76" customWidth="1"/>
    <col min="11010" max="11010" width="34.140625" style="76" customWidth="1"/>
    <col min="11011" max="11011" width="16" style="76" customWidth="1"/>
    <col min="11012" max="11012" width="15.7109375" style="76" customWidth="1"/>
    <col min="11013" max="11013" width="17.42578125" style="76" customWidth="1"/>
    <col min="11014" max="11014" width="10.7109375" style="76" customWidth="1"/>
    <col min="11015" max="11015" width="13" style="76" customWidth="1"/>
    <col min="11016" max="11016" width="16.7109375" style="76" customWidth="1"/>
    <col min="11017" max="11257" width="9.140625" style="76"/>
    <col min="11258" max="11258" width="35.5703125" style="76" customWidth="1"/>
    <col min="11259" max="11259" width="23" style="76" customWidth="1"/>
    <col min="11260" max="11260" width="17.7109375" style="76" customWidth="1"/>
    <col min="11261" max="11261" width="18.42578125" style="76" customWidth="1"/>
    <col min="11262" max="11263" width="13.140625" style="76" customWidth="1"/>
    <col min="11264" max="11264" width="10.7109375" style="76" customWidth="1"/>
    <col min="11265" max="11265" width="40.85546875" style="76" customWidth="1"/>
    <col min="11266" max="11266" width="34.140625" style="76" customWidth="1"/>
    <col min="11267" max="11267" width="16" style="76" customWidth="1"/>
    <col min="11268" max="11268" width="15.7109375" style="76" customWidth="1"/>
    <col min="11269" max="11269" width="17.42578125" style="76" customWidth="1"/>
    <col min="11270" max="11270" width="10.7109375" style="76" customWidth="1"/>
    <col min="11271" max="11271" width="13" style="76" customWidth="1"/>
    <col min="11272" max="11272" width="16.7109375" style="76" customWidth="1"/>
    <col min="11273" max="11513" width="9.140625" style="76"/>
    <col min="11514" max="11514" width="35.5703125" style="76" customWidth="1"/>
    <col min="11515" max="11515" width="23" style="76" customWidth="1"/>
    <col min="11516" max="11516" width="17.7109375" style="76" customWidth="1"/>
    <col min="11517" max="11517" width="18.42578125" style="76" customWidth="1"/>
    <col min="11518" max="11519" width="13.140625" style="76" customWidth="1"/>
    <col min="11520" max="11520" width="10.7109375" style="76" customWidth="1"/>
    <col min="11521" max="11521" width="40.85546875" style="76" customWidth="1"/>
    <col min="11522" max="11522" width="34.140625" style="76" customWidth="1"/>
    <col min="11523" max="11523" width="16" style="76" customWidth="1"/>
    <col min="11524" max="11524" width="15.7109375" style="76" customWidth="1"/>
    <col min="11525" max="11525" width="17.42578125" style="76" customWidth="1"/>
    <col min="11526" max="11526" width="10.7109375" style="76" customWidth="1"/>
    <col min="11527" max="11527" width="13" style="76" customWidth="1"/>
    <col min="11528" max="11528" width="16.7109375" style="76" customWidth="1"/>
    <col min="11529" max="11769" width="9.140625" style="76"/>
    <col min="11770" max="11770" width="35.5703125" style="76" customWidth="1"/>
    <col min="11771" max="11771" width="23" style="76" customWidth="1"/>
    <col min="11772" max="11772" width="17.7109375" style="76" customWidth="1"/>
    <col min="11773" max="11773" width="18.42578125" style="76" customWidth="1"/>
    <col min="11774" max="11775" width="13.140625" style="76" customWidth="1"/>
    <col min="11776" max="11776" width="10.7109375" style="76" customWidth="1"/>
    <col min="11777" max="11777" width="40.85546875" style="76" customWidth="1"/>
    <col min="11778" max="11778" width="34.140625" style="76" customWidth="1"/>
    <col min="11779" max="11779" width="16" style="76" customWidth="1"/>
    <col min="11780" max="11780" width="15.7109375" style="76" customWidth="1"/>
    <col min="11781" max="11781" width="17.42578125" style="76" customWidth="1"/>
    <col min="11782" max="11782" width="10.7109375" style="76" customWidth="1"/>
    <col min="11783" max="11783" width="13" style="76" customWidth="1"/>
    <col min="11784" max="11784" width="16.7109375" style="76" customWidth="1"/>
    <col min="11785" max="12025" width="9.140625" style="76"/>
    <col min="12026" max="12026" width="35.5703125" style="76" customWidth="1"/>
    <col min="12027" max="12027" width="23" style="76" customWidth="1"/>
    <col min="12028" max="12028" width="17.7109375" style="76" customWidth="1"/>
    <col min="12029" max="12029" width="18.42578125" style="76" customWidth="1"/>
    <col min="12030" max="12031" width="13.140625" style="76" customWidth="1"/>
    <col min="12032" max="12032" width="10.7109375" style="76" customWidth="1"/>
    <col min="12033" max="12033" width="40.85546875" style="76" customWidth="1"/>
    <col min="12034" max="12034" width="34.140625" style="76" customWidth="1"/>
    <col min="12035" max="12035" width="16" style="76" customWidth="1"/>
    <col min="12036" max="12036" width="15.7109375" style="76" customWidth="1"/>
    <col min="12037" max="12037" width="17.42578125" style="76" customWidth="1"/>
    <col min="12038" max="12038" width="10.7109375" style="76" customWidth="1"/>
    <col min="12039" max="12039" width="13" style="76" customWidth="1"/>
    <col min="12040" max="12040" width="16.7109375" style="76" customWidth="1"/>
    <col min="12041" max="12281" width="9.140625" style="76"/>
    <col min="12282" max="12282" width="35.5703125" style="76" customWidth="1"/>
    <col min="12283" max="12283" width="23" style="76" customWidth="1"/>
    <col min="12284" max="12284" width="17.7109375" style="76" customWidth="1"/>
    <col min="12285" max="12285" width="18.42578125" style="76" customWidth="1"/>
    <col min="12286" max="12287" width="13.140625" style="76" customWidth="1"/>
    <col min="12288" max="12288" width="10.7109375" style="76" customWidth="1"/>
    <col min="12289" max="12289" width="40.85546875" style="76" customWidth="1"/>
    <col min="12290" max="12290" width="34.140625" style="76" customWidth="1"/>
    <col min="12291" max="12291" width="16" style="76" customWidth="1"/>
    <col min="12292" max="12292" width="15.7109375" style="76" customWidth="1"/>
    <col min="12293" max="12293" width="17.42578125" style="76" customWidth="1"/>
    <col min="12294" max="12294" width="10.7109375" style="76" customWidth="1"/>
    <col min="12295" max="12295" width="13" style="76" customWidth="1"/>
    <col min="12296" max="12296" width="16.7109375" style="76" customWidth="1"/>
    <col min="12297" max="12537" width="9.140625" style="76"/>
    <col min="12538" max="12538" width="35.5703125" style="76" customWidth="1"/>
    <col min="12539" max="12539" width="23" style="76" customWidth="1"/>
    <col min="12540" max="12540" width="17.7109375" style="76" customWidth="1"/>
    <col min="12541" max="12541" width="18.42578125" style="76" customWidth="1"/>
    <col min="12542" max="12543" width="13.140625" style="76" customWidth="1"/>
    <col min="12544" max="12544" width="10.7109375" style="76" customWidth="1"/>
    <col min="12545" max="12545" width="40.85546875" style="76" customWidth="1"/>
    <col min="12546" max="12546" width="34.140625" style="76" customWidth="1"/>
    <col min="12547" max="12547" width="16" style="76" customWidth="1"/>
    <col min="12548" max="12548" width="15.7109375" style="76" customWidth="1"/>
    <col min="12549" max="12549" width="17.42578125" style="76" customWidth="1"/>
    <col min="12550" max="12550" width="10.7109375" style="76" customWidth="1"/>
    <col min="12551" max="12551" width="13" style="76" customWidth="1"/>
    <col min="12552" max="12552" width="16.7109375" style="76" customWidth="1"/>
    <col min="12553" max="12793" width="9.140625" style="76"/>
    <col min="12794" max="12794" width="35.5703125" style="76" customWidth="1"/>
    <col min="12795" max="12795" width="23" style="76" customWidth="1"/>
    <col min="12796" max="12796" width="17.7109375" style="76" customWidth="1"/>
    <col min="12797" max="12797" width="18.42578125" style="76" customWidth="1"/>
    <col min="12798" max="12799" width="13.140625" style="76" customWidth="1"/>
    <col min="12800" max="12800" width="10.7109375" style="76" customWidth="1"/>
    <col min="12801" max="12801" width="40.85546875" style="76" customWidth="1"/>
    <col min="12802" max="12802" width="34.140625" style="76" customWidth="1"/>
    <col min="12803" max="12803" width="16" style="76" customWidth="1"/>
    <col min="12804" max="12804" width="15.7109375" style="76" customWidth="1"/>
    <col min="12805" max="12805" width="17.42578125" style="76" customWidth="1"/>
    <col min="12806" max="12806" width="10.7109375" style="76" customWidth="1"/>
    <col min="12807" max="12807" width="13" style="76" customWidth="1"/>
    <col min="12808" max="12808" width="16.7109375" style="76" customWidth="1"/>
    <col min="12809" max="13049" width="9.140625" style="76"/>
    <col min="13050" max="13050" width="35.5703125" style="76" customWidth="1"/>
    <col min="13051" max="13051" width="23" style="76" customWidth="1"/>
    <col min="13052" max="13052" width="17.7109375" style="76" customWidth="1"/>
    <col min="13053" max="13053" width="18.42578125" style="76" customWidth="1"/>
    <col min="13054" max="13055" width="13.140625" style="76" customWidth="1"/>
    <col min="13056" max="13056" width="10.7109375" style="76" customWidth="1"/>
    <col min="13057" max="13057" width="40.85546875" style="76" customWidth="1"/>
    <col min="13058" max="13058" width="34.140625" style="76" customWidth="1"/>
    <col min="13059" max="13059" width="16" style="76" customWidth="1"/>
    <col min="13060" max="13060" width="15.7109375" style="76" customWidth="1"/>
    <col min="13061" max="13061" width="17.42578125" style="76" customWidth="1"/>
    <col min="13062" max="13062" width="10.7109375" style="76" customWidth="1"/>
    <col min="13063" max="13063" width="13" style="76" customWidth="1"/>
    <col min="13064" max="13064" width="16.7109375" style="76" customWidth="1"/>
    <col min="13065" max="13305" width="9.140625" style="76"/>
    <col min="13306" max="13306" width="35.5703125" style="76" customWidth="1"/>
    <col min="13307" max="13307" width="23" style="76" customWidth="1"/>
    <col min="13308" max="13308" width="17.7109375" style="76" customWidth="1"/>
    <col min="13309" max="13309" width="18.42578125" style="76" customWidth="1"/>
    <col min="13310" max="13311" width="13.140625" style="76" customWidth="1"/>
    <col min="13312" max="13312" width="10.7109375" style="76" customWidth="1"/>
    <col min="13313" max="13313" width="40.85546875" style="76" customWidth="1"/>
    <col min="13314" max="13314" width="34.140625" style="76" customWidth="1"/>
    <col min="13315" max="13315" width="16" style="76" customWidth="1"/>
    <col min="13316" max="13316" width="15.7109375" style="76" customWidth="1"/>
    <col min="13317" max="13317" width="17.42578125" style="76" customWidth="1"/>
    <col min="13318" max="13318" width="10.7109375" style="76" customWidth="1"/>
    <col min="13319" max="13319" width="13" style="76" customWidth="1"/>
    <col min="13320" max="13320" width="16.7109375" style="76" customWidth="1"/>
    <col min="13321" max="13561" width="9.140625" style="76"/>
    <col min="13562" max="13562" width="35.5703125" style="76" customWidth="1"/>
    <col min="13563" max="13563" width="23" style="76" customWidth="1"/>
    <col min="13564" max="13564" width="17.7109375" style="76" customWidth="1"/>
    <col min="13565" max="13565" width="18.42578125" style="76" customWidth="1"/>
    <col min="13566" max="13567" width="13.140625" style="76" customWidth="1"/>
    <col min="13568" max="13568" width="10.7109375" style="76" customWidth="1"/>
    <col min="13569" max="13569" width="40.85546875" style="76" customWidth="1"/>
    <col min="13570" max="13570" width="34.140625" style="76" customWidth="1"/>
    <col min="13571" max="13571" width="16" style="76" customWidth="1"/>
    <col min="13572" max="13572" width="15.7109375" style="76" customWidth="1"/>
    <col min="13573" max="13573" width="17.42578125" style="76" customWidth="1"/>
    <col min="13574" max="13574" width="10.7109375" style="76" customWidth="1"/>
    <col min="13575" max="13575" width="13" style="76" customWidth="1"/>
    <col min="13576" max="13576" width="16.7109375" style="76" customWidth="1"/>
    <col min="13577" max="13817" width="9.140625" style="76"/>
    <col min="13818" max="13818" width="35.5703125" style="76" customWidth="1"/>
    <col min="13819" max="13819" width="23" style="76" customWidth="1"/>
    <col min="13820" max="13820" width="17.7109375" style="76" customWidth="1"/>
    <col min="13821" max="13821" width="18.42578125" style="76" customWidth="1"/>
    <col min="13822" max="13823" width="13.140625" style="76" customWidth="1"/>
    <col min="13824" max="13824" width="10.7109375" style="76" customWidth="1"/>
    <col min="13825" max="13825" width="40.85546875" style="76" customWidth="1"/>
    <col min="13826" max="13826" width="34.140625" style="76" customWidth="1"/>
    <col min="13827" max="13827" width="16" style="76" customWidth="1"/>
    <col min="13828" max="13828" width="15.7109375" style="76" customWidth="1"/>
    <col min="13829" max="13829" width="17.42578125" style="76" customWidth="1"/>
    <col min="13830" max="13830" width="10.7109375" style="76" customWidth="1"/>
    <col min="13831" max="13831" width="13" style="76" customWidth="1"/>
    <col min="13832" max="13832" width="16.7109375" style="76" customWidth="1"/>
    <col min="13833" max="14073" width="9.140625" style="76"/>
    <col min="14074" max="14074" width="35.5703125" style="76" customWidth="1"/>
    <col min="14075" max="14075" width="23" style="76" customWidth="1"/>
    <col min="14076" max="14076" width="17.7109375" style="76" customWidth="1"/>
    <col min="14077" max="14077" width="18.42578125" style="76" customWidth="1"/>
    <col min="14078" max="14079" width="13.140625" style="76" customWidth="1"/>
    <col min="14080" max="14080" width="10.7109375" style="76" customWidth="1"/>
    <col min="14081" max="14081" width="40.85546875" style="76" customWidth="1"/>
    <col min="14082" max="14082" width="34.140625" style="76" customWidth="1"/>
    <col min="14083" max="14083" width="16" style="76" customWidth="1"/>
    <col min="14084" max="14084" width="15.7109375" style="76" customWidth="1"/>
    <col min="14085" max="14085" width="17.42578125" style="76" customWidth="1"/>
    <col min="14086" max="14086" width="10.7109375" style="76" customWidth="1"/>
    <col min="14087" max="14087" width="13" style="76" customWidth="1"/>
    <col min="14088" max="14088" width="16.7109375" style="76" customWidth="1"/>
    <col min="14089" max="14329" width="9.140625" style="76"/>
    <col min="14330" max="14330" width="35.5703125" style="76" customWidth="1"/>
    <col min="14331" max="14331" width="23" style="76" customWidth="1"/>
    <col min="14332" max="14332" width="17.7109375" style="76" customWidth="1"/>
    <col min="14333" max="14333" width="18.42578125" style="76" customWidth="1"/>
    <col min="14334" max="14335" width="13.140625" style="76" customWidth="1"/>
    <col min="14336" max="14336" width="10.7109375" style="76" customWidth="1"/>
    <col min="14337" max="14337" width="40.85546875" style="76" customWidth="1"/>
    <col min="14338" max="14338" width="34.140625" style="76" customWidth="1"/>
    <col min="14339" max="14339" width="16" style="76" customWidth="1"/>
    <col min="14340" max="14340" width="15.7109375" style="76" customWidth="1"/>
    <col min="14341" max="14341" width="17.42578125" style="76" customWidth="1"/>
    <col min="14342" max="14342" width="10.7109375" style="76" customWidth="1"/>
    <col min="14343" max="14343" width="13" style="76" customWidth="1"/>
    <col min="14344" max="14344" width="16.7109375" style="76" customWidth="1"/>
    <col min="14345" max="14585" width="9.140625" style="76"/>
    <col min="14586" max="14586" width="35.5703125" style="76" customWidth="1"/>
    <col min="14587" max="14587" width="23" style="76" customWidth="1"/>
    <col min="14588" max="14588" width="17.7109375" style="76" customWidth="1"/>
    <col min="14589" max="14589" width="18.42578125" style="76" customWidth="1"/>
    <col min="14590" max="14591" width="13.140625" style="76" customWidth="1"/>
    <col min="14592" max="14592" width="10.7109375" style="76" customWidth="1"/>
    <col min="14593" max="14593" width="40.85546875" style="76" customWidth="1"/>
    <col min="14594" max="14594" width="34.140625" style="76" customWidth="1"/>
    <col min="14595" max="14595" width="16" style="76" customWidth="1"/>
    <col min="14596" max="14596" width="15.7109375" style="76" customWidth="1"/>
    <col min="14597" max="14597" width="17.42578125" style="76" customWidth="1"/>
    <col min="14598" max="14598" width="10.7109375" style="76" customWidth="1"/>
    <col min="14599" max="14599" width="13" style="76" customWidth="1"/>
    <col min="14600" max="14600" width="16.7109375" style="76" customWidth="1"/>
    <col min="14601" max="14841" width="9.140625" style="76"/>
    <col min="14842" max="14842" width="35.5703125" style="76" customWidth="1"/>
    <col min="14843" max="14843" width="23" style="76" customWidth="1"/>
    <col min="14844" max="14844" width="17.7109375" style="76" customWidth="1"/>
    <col min="14845" max="14845" width="18.42578125" style="76" customWidth="1"/>
    <col min="14846" max="14847" width="13.140625" style="76" customWidth="1"/>
    <col min="14848" max="14848" width="10.7109375" style="76" customWidth="1"/>
    <col min="14849" max="14849" width="40.85546875" style="76" customWidth="1"/>
    <col min="14850" max="14850" width="34.140625" style="76" customWidth="1"/>
    <col min="14851" max="14851" width="16" style="76" customWidth="1"/>
    <col min="14852" max="14852" width="15.7109375" style="76" customWidth="1"/>
    <col min="14853" max="14853" width="17.42578125" style="76" customWidth="1"/>
    <col min="14854" max="14854" width="10.7109375" style="76" customWidth="1"/>
    <col min="14855" max="14855" width="13" style="76" customWidth="1"/>
    <col min="14856" max="14856" width="16.7109375" style="76" customWidth="1"/>
    <col min="14857" max="15097" width="9.140625" style="76"/>
    <col min="15098" max="15098" width="35.5703125" style="76" customWidth="1"/>
    <col min="15099" max="15099" width="23" style="76" customWidth="1"/>
    <col min="15100" max="15100" width="17.7109375" style="76" customWidth="1"/>
    <col min="15101" max="15101" width="18.42578125" style="76" customWidth="1"/>
    <col min="15102" max="15103" width="13.140625" style="76" customWidth="1"/>
    <col min="15104" max="15104" width="10.7109375" style="76" customWidth="1"/>
    <col min="15105" max="15105" width="40.85546875" style="76" customWidth="1"/>
    <col min="15106" max="15106" width="34.140625" style="76" customWidth="1"/>
    <col min="15107" max="15107" width="16" style="76" customWidth="1"/>
    <col min="15108" max="15108" width="15.7109375" style="76" customWidth="1"/>
    <col min="15109" max="15109" width="17.42578125" style="76" customWidth="1"/>
    <col min="15110" max="15110" width="10.7109375" style="76" customWidth="1"/>
    <col min="15111" max="15111" width="13" style="76" customWidth="1"/>
    <col min="15112" max="15112" width="16.7109375" style="76" customWidth="1"/>
    <col min="15113" max="15353" width="9.140625" style="76"/>
    <col min="15354" max="15354" width="35.5703125" style="76" customWidth="1"/>
    <col min="15355" max="15355" width="23" style="76" customWidth="1"/>
    <col min="15356" max="15356" width="17.7109375" style="76" customWidth="1"/>
    <col min="15357" max="15357" width="18.42578125" style="76" customWidth="1"/>
    <col min="15358" max="15359" width="13.140625" style="76" customWidth="1"/>
    <col min="15360" max="15360" width="10.7109375" style="76" customWidth="1"/>
    <col min="15361" max="15361" width="40.85546875" style="76" customWidth="1"/>
    <col min="15362" max="15362" width="34.140625" style="76" customWidth="1"/>
    <col min="15363" max="15363" width="16" style="76" customWidth="1"/>
    <col min="15364" max="15364" width="15.7109375" style="76" customWidth="1"/>
    <col min="15365" max="15365" width="17.42578125" style="76" customWidth="1"/>
    <col min="15366" max="15366" width="10.7109375" style="76" customWidth="1"/>
    <col min="15367" max="15367" width="13" style="76" customWidth="1"/>
    <col min="15368" max="15368" width="16.7109375" style="76" customWidth="1"/>
    <col min="15369" max="15609" width="9.140625" style="76"/>
    <col min="15610" max="15610" width="35.5703125" style="76" customWidth="1"/>
    <col min="15611" max="15611" width="23" style="76" customWidth="1"/>
    <col min="15612" max="15612" width="17.7109375" style="76" customWidth="1"/>
    <col min="15613" max="15613" width="18.42578125" style="76" customWidth="1"/>
    <col min="15614" max="15615" width="13.140625" style="76" customWidth="1"/>
    <col min="15616" max="15616" width="10.7109375" style="76" customWidth="1"/>
    <col min="15617" max="15617" width="40.85546875" style="76" customWidth="1"/>
    <col min="15618" max="15618" width="34.140625" style="76" customWidth="1"/>
    <col min="15619" max="15619" width="16" style="76" customWidth="1"/>
    <col min="15620" max="15620" width="15.7109375" style="76" customWidth="1"/>
    <col min="15621" max="15621" width="17.42578125" style="76" customWidth="1"/>
    <col min="15622" max="15622" width="10.7109375" style="76" customWidth="1"/>
    <col min="15623" max="15623" width="13" style="76" customWidth="1"/>
    <col min="15624" max="15624" width="16.7109375" style="76" customWidth="1"/>
    <col min="15625" max="15865" width="9.140625" style="76"/>
    <col min="15866" max="15866" width="35.5703125" style="76" customWidth="1"/>
    <col min="15867" max="15867" width="23" style="76" customWidth="1"/>
    <col min="15868" max="15868" width="17.7109375" style="76" customWidth="1"/>
    <col min="15869" max="15869" width="18.42578125" style="76" customWidth="1"/>
    <col min="15870" max="15871" width="13.140625" style="76" customWidth="1"/>
    <col min="15872" max="15872" width="10.7109375" style="76" customWidth="1"/>
    <col min="15873" max="15873" width="40.85546875" style="76" customWidth="1"/>
    <col min="15874" max="15874" width="34.140625" style="76" customWidth="1"/>
    <col min="15875" max="15875" width="16" style="76" customWidth="1"/>
    <col min="15876" max="15876" width="15.7109375" style="76" customWidth="1"/>
    <col min="15877" max="15877" width="17.42578125" style="76" customWidth="1"/>
    <col min="15878" max="15878" width="10.7109375" style="76" customWidth="1"/>
    <col min="15879" max="15879" width="13" style="76" customWidth="1"/>
    <col min="15880" max="15880" width="16.7109375" style="76" customWidth="1"/>
    <col min="15881" max="16121" width="9.140625" style="76"/>
    <col min="16122" max="16122" width="35.5703125" style="76" customWidth="1"/>
    <col min="16123" max="16123" width="23" style="76" customWidth="1"/>
    <col min="16124" max="16124" width="17.7109375" style="76" customWidth="1"/>
    <col min="16125" max="16125" width="18.42578125" style="76" customWidth="1"/>
    <col min="16126" max="16127" width="13.140625" style="76" customWidth="1"/>
    <col min="16128" max="16128" width="10.7109375" style="76" customWidth="1"/>
    <col min="16129" max="16129" width="40.85546875" style="76" customWidth="1"/>
    <col min="16130" max="16130" width="34.140625" style="76" customWidth="1"/>
    <col min="16131" max="16131" width="16" style="76" customWidth="1"/>
    <col min="16132" max="16132" width="15.7109375" style="76" customWidth="1"/>
    <col min="16133" max="16133" width="17.42578125" style="76" customWidth="1"/>
    <col min="16134" max="16134" width="10.7109375" style="76" customWidth="1"/>
    <col min="16135" max="16135" width="13" style="76" customWidth="1"/>
    <col min="16136" max="16136" width="16.7109375" style="76" customWidth="1"/>
    <col min="16137" max="16384" width="9.140625" style="76"/>
  </cols>
  <sheetData>
    <row r="1" spans="1:24" s="77" customFormat="1" ht="21" x14ac:dyDescent="0.35">
      <c r="G1" s="78"/>
      <c r="H1" s="79"/>
    </row>
    <row r="2" spans="1:24" s="77" customFormat="1" ht="21" x14ac:dyDescent="0.35">
      <c r="G2" s="78"/>
      <c r="H2" s="79"/>
    </row>
    <row r="3" spans="1:24" s="77" customFormat="1" ht="21" x14ac:dyDescent="0.35">
      <c r="G3" s="78"/>
      <c r="H3" s="79"/>
    </row>
    <row r="4" spans="1:24" s="77" customFormat="1" ht="21" x14ac:dyDescent="0.35">
      <c r="G4" s="78"/>
      <c r="H4" s="79"/>
    </row>
    <row r="5" spans="1:24" s="77" customFormat="1" ht="21" x14ac:dyDescent="0.35">
      <c r="G5" s="78"/>
      <c r="H5" s="79"/>
    </row>
    <row r="6" spans="1:24" s="80" customFormat="1" ht="21" customHeight="1" x14ac:dyDescent="0.35">
      <c r="A6" s="270" t="s">
        <v>119</v>
      </c>
      <c r="B6" s="248"/>
      <c r="C6" s="248"/>
      <c r="D6" s="248"/>
      <c r="E6" s="248"/>
      <c r="F6" s="248"/>
      <c r="G6" s="248"/>
      <c r="H6" s="24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s="80" customFormat="1" ht="21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s="80" customFormat="1" ht="21" customHeight="1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s="80" customFormat="1" ht="21" customHeight="1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168" customFormat="1" ht="23.25" x14ac:dyDescent="0.35">
      <c r="A10" s="250" t="s">
        <v>170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1:24" ht="25.5" customHeight="1" thickBot="1" x14ac:dyDescent="0.3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24" s="172" customFormat="1" ht="69" customHeight="1" thickBot="1" x14ac:dyDescent="0.3">
      <c r="A12" s="308" t="s">
        <v>138</v>
      </c>
      <c r="B12" s="311" t="s">
        <v>139</v>
      </c>
      <c r="C12" s="312"/>
      <c r="D12" s="169" t="s">
        <v>140</v>
      </c>
      <c r="E12" s="169" t="s">
        <v>141</v>
      </c>
      <c r="F12" s="170" t="s">
        <v>142</v>
      </c>
      <c r="G12" s="171"/>
      <c r="H12" s="308" t="s">
        <v>138</v>
      </c>
      <c r="I12" s="311" t="s">
        <v>143</v>
      </c>
      <c r="J12" s="312"/>
      <c r="K12" s="169" t="s">
        <v>140</v>
      </c>
      <c r="L12" s="169" t="s">
        <v>144</v>
      </c>
      <c r="M12" s="170" t="s">
        <v>142</v>
      </c>
    </row>
    <row r="13" spans="1:24" s="172" customFormat="1" ht="37.9" customHeight="1" x14ac:dyDescent="0.25">
      <c r="A13" s="309"/>
      <c r="B13" s="313" t="s">
        <v>145</v>
      </c>
      <c r="C13" s="314"/>
      <c r="D13" s="222">
        <f>'Dem Fontes e Usos'!B14</f>
        <v>966721</v>
      </c>
      <c r="E13" s="222">
        <f>'Dem Fontes e Usos'!C14</f>
        <v>869237.22</v>
      </c>
      <c r="F13" s="173">
        <f t="shared" ref="F13:F18" si="0">IFERROR(E13/D13*100,0)</f>
        <v>89.916037822701682</v>
      </c>
      <c r="G13" s="174"/>
      <c r="H13" s="309"/>
      <c r="I13" s="315" t="s">
        <v>146</v>
      </c>
      <c r="J13" s="316"/>
      <c r="K13" s="175">
        <v>491003</v>
      </c>
      <c r="L13" s="244">
        <v>427946.96</v>
      </c>
      <c r="M13" s="176">
        <f>IFERROR(L13/K13*100,0)</f>
        <v>87.157707794046075</v>
      </c>
    </row>
    <row r="14" spans="1:24" s="172" customFormat="1" ht="38.450000000000003" customHeight="1" x14ac:dyDescent="0.25">
      <c r="A14" s="309"/>
      <c r="B14" s="317" t="s">
        <v>147</v>
      </c>
      <c r="C14" s="318"/>
      <c r="D14" s="223">
        <f>'Dem Fontes e Usos'!B21</f>
        <v>74896</v>
      </c>
      <c r="E14" s="223">
        <f>'Dem Fontes e Usos'!C21</f>
        <v>62413.33</v>
      </c>
      <c r="F14" s="177">
        <f t="shared" si="0"/>
        <v>83.333328882717367</v>
      </c>
      <c r="G14" s="174"/>
      <c r="H14" s="309"/>
      <c r="I14" s="319" t="s">
        <v>148</v>
      </c>
      <c r="J14" s="320"/>
      <c r="K14" s="178"/>
      <c r="L14" s="178"/>
      <c r="M14" s="179">
        <f>IFERROR(L14/K14*100,0)</f>
        <v>0</v>
      </c>
    </row>
    <row r="15" spans="1:24" s="172" customFormat="1" ht="43.5" customHeight="1" thickBot="1" x14ac:dyDescent="0.3">
      <c r="A15" s="309"/>
      <c r="B15" s="321" t="s">
        <v>149</v>
      </c>
      <c r="C15" s="322"/>
      <c r="D15" s="233">
        <f>SUM(D13:D14)</f>
        <v>1041617</v>
      </c>
      <c r="E15" s="233">
        <f>SUM(E13:E14)</f>
        <v>931650.54999999993</v>
      </c>
      <c r="F15" s="234">
        <f t="shared" si="0"/>
        <v>89.442717428766997</v>
      </c>
      <c r="G15" s="174"/>
      <c r="H15" s="310"/>
      <c r="I15" s="323" t="s">
        <v>150</v>
      </c>
      <c r="J15" s="324"/>
      <c r="K15" s="180">
        <f>'Dem Fontes e Usos'!B13</f>
        <v>1081617</v>
      </c>
      <c r="L15" s="180">
        <f>'Dem Fontes e Usos'!C13</f>
        <v>966200.02999999991</v>
      </c>
      <c r="M15" s="181">
        <f>IFERROR(L15/K15*100,0)</f>
        <v>89.329220047391999</v>
      </c>
    </row>
    <row r="16" spans="1:24" s="172" customFormat="1" ht="28.5" customHeight="1" x14ac:dyDescent="0.25">
      <c r="A16" s="309"/>
      <c r="B16" s="317" t="s">
        <v>151</v>
      </c>
      <c r="C16" s="318"/>
      <c r="D16" s="223">
        <f>'Dem Fontes e Usos'!B36</f>
        <v>37990</v>
      </c>
      <c r="E16" s="223">
        <f>'Dem Fontes e Usos'!C36</f>
        <v>34824.129999999997</v>
      </c>
      <c r="F16" s="177">
        <f t="shared" si="0"/>
        <v>91.666570150039476</v>
      </c>
      <c r="G16" s="174"/>
      <c r="H16" s="325"/>
      <c r="I16" s="325"/>
      <c r="J16" s="171"/>
      <c r="K16" s="182"/>
      <c r="L16" s="182"/>
      <c r="M16" s="183"/>
    </row>
    <row r="17" spans="1:21" s="172" customFormat="1" ht="33.75" customHeight="1" x14ac:dyDescent="0.25">
      <c r="A17" s="309"/>
      <c r="B17" s="317" t="s">
        <v>152</v>
      </c>
      <c r="C17" s="318"/>
      <c r="D17" s="223">
        <f>'Dem Fontes e Usos'!B37</f>
        <v>79090</v>
      </c>
      <c r="E17" s="223">
        <f>'Dem Fontes e Usos'!C37</f>
        <v>71031.509999999995</v>
      </c>
      <c r="F17" s="177">
        <f t="shared" si="0"/>
        <v>89.810987482614735</v>
      </c>
      <c r="G17" s="174"/>
      <c r="H17" s="325"/>
      <c r="I17" s="325"/>
      <c r="J17" s="171"/>
      <c r="K17" s="183"/>
      <c r="L17" s="183"/>
      <c r="M17" s="183"/>
    </row>
    <row r="18" spans="1:21" s="172" customFormat="1" ht="30.75" customHeight="1" thickBot="1" x14ac:dyDescent="0.3">
      <c r="A18" s="310"/>
      <c r="B18" s="290" t="s">
        <v>153</v>
      </c>
      <c r="C18" s="291"/>
      <c r="D18" s="235">
        <f>D15-D16-D17</f>
        <v>924537</v>
      </c>
      <c r="E18" s="235">
        <f>E15-E16-E17</f>
        <v>825794.90999999992</v>
      </c>
      <c r="F18" s="236">
        <f t="shared" si="0"/>
        <v>89.319833603198134</v>
      </c>
      <c r="G18" s="184"/>
      <c r="H18" s="185"/>
      <c r="I18" s="185"/>
      <c r="J18" s="171"/>
      <c r="K18" s="183"/>
      <c r="L18" s="186"/>
      <c r="M18" s="183"/>
    </row>
    <row r="19" spans="1:21" s="194" customFormat="1" ht="16.5" thickBot="1" x14ac:dyDescent="0.3">
      <c r="A19" s="187"/>
      <c r="B19" s="188"/>
      <c r="C19" s="188"/>
      <c r="D19" s="189"/>
      <c r="E19" s="189"/>
      <c r="F19" s="190"/>
      <c r="G19" s="189"/>
      <c r="H19" s="191"/>
      <c r="I19" s="191"/>
      <c r="J19" s="192"/>
      <c r="K19" s="190"/>
      <c r="L19" s="193"/>
      <c r="M19" s="190"/>
    </row>
    <row r="20" spans="1:21" s="172" customFormat="1" ht="43.5" customHeight="1" thickBot="1" x14ac:dyDescent="0.3">
      <c r="A20" s="292" t="s">
        <v>154</v>
      </c>
      <c r="B20" s="294" t="s">
        <v>155</v>
      </c>
      <c r="C20" s="295"/>
      <c r="D20" s="195" t="s">
        <v>156</v>
      </c>
      <c r="E20" s="196" t="s">
        <v>157</v>
      </c>
      <c r="F20" s="196" t="s">
        <v>142</v>
      </c>
      <c r="G20" s="189"/>
      <c r="H20" s="296" t="s">
        <v>155</v>
      </c>
      <c r="I20" s="297"/>
      <c r="J20" s="298"/>
      <c r="K20" s="197" t="s">
        <v>158</v>
      </c>
      <c r="L20" s="195" t="s">
        <v>159</v>
      </c>
      <c r="M20" s="198" t="s">
        <v>142</v>
      </c>
    </row>
    <row r="21" spans="1:21" s="172" customFormat="1" ht="40.5" customHeight="1" x14ac:dyDescent="0.25">
      <c r="A21" s="292"/>
      <c r="B21" s="299" t="s">
        <v>160</v>
      </c>
      <c r="C21" s="199" t="s">
        <v>161</v>
      </c>
      <c r="D21" s="200">
        <v>245612</v>
      </c>
      <c r="E21" s="201">
        <f>'Exec Orçamentária'!F23</f>
        <v>211613.39</v>
      </c>
      <c r="F21" s="202">
        <f>IFERROR(E21/D21*100,0)</f>
        <v>86.157594091493905</v>
      </c>
      <c r="G21" s="189"/>
      <c r="H21" s="300" t="s">
        <v>174</v>
      </c>
      <c r="I21" s="301"/>
      <c r="J21" s="203" t="s">
        <v>161</v>
      </c>
      <c r="K21" s="204">
        <f>(K13-K14)</f>
        <v>491003</v>
      </c>
      <c r="L21" s="204">
        <f>(L13-L14)</f>
        <v>427946.96</v>
      </c>
      <c r="M21" s="202">
        <f>IFERROR(L21/K21*100,0)</f>
        <v>87.157707794046075</v>
      </c>
      <c r="N21" s="284"/>
      <c r="O21" s="284"/>
      <c r="P21" s="284"/>
      <c r="Q21" s="284"/>
      <c r="R21" s="284"/>
      <c r="S21" s="284"/>
      <c r="T21" s="284"/>
      <c r="U21" s="284"/>
    </row>
    <row r="22" spans="1:21" s="172" customFormat="1" ht="36.6" customHeight="1" x14ac:dyDescent="0.25">
      <c r="A22" s="292"/>
      <c r="B22" s="285"/>
      <c r="C22" s="205" t="s">
        <v>162</v>
      </c>
      <c r="D22" s="206">
        <f>IFERROR(D21/D18,0)</f>
        <v>0.26565945981610256</v>
      </c>
      <c r="E22" s="206">
        <f>IFERROR(E21/E18,0)</f>
        <v>0.25625417090546132</v>
      </c>
      <c r="F22" s="207">
        <f>E22-D22</f>
        <v>-9.4052889106412407E-3</v>
      </c>
      <c r="G22" s="189"/>
      <c r="H22" s="302"/>
      <c r="I22" s="303"/>
      <c r="J22" s="208" t="s">
        <v>162</v>
      </c>
      <c r="K22" s="209">
        <f>IFERROR(K21/K15,)</f>
        <v>0.45395273927832125</v>
      </c>
      <c r="L22" s="209">
        <f>IFERROR(L21/L15,)</f>
        <v>0.44291756024888557</v>
      </c>
      <c r="M22" s="207">
        <f>L22-K22</f>
        <v>-1.1035179029435682E-2</v>
      </c>
      <c r="N22" s="284"/>
      <c r="O22" s="284"/>
      <c r="P22" s="284"/>
      <c r="Q22" s="284"/>
      <c r="R22" s="284"/>
      <c r="S22" s="284"/>
      <c r="T22" s="284"/>
      <c r="U22" s="284"/>
    </row>
    <row r="23" spans="1:21" s="172" customFormat="1" ht="28.5" customHeight="1" x14ac:dyDescent="0.25">
      <c r="A23" s="292"/>
      <c r="B23" s="285" t="s">
        <v>163</v>
      </c>
      <c r="C23" s="203" t="s">
        <v>161</v>
      </c>
      <c r="D23" s="210">
        <v>206157</v>
      </c>
      <c r="E23" s="211">
        <f>'Exec Orçamentária'!F21+'Exec Orçamentária'!F25</f>
        <v>184572.83000000002</v>
      </c>
      <c r="F23" s="202">
        <f>IFERROR(E23/D23*100,0)</f>
        <v>89.530226962945719</v>
      </c>
      <c r="G23" s="189"/>
      <c r="H23" s="286" t="s">
        <v>175</v>
      </c>
      <c r="I23" s="287"/>
      <c r="J23" s="203" t="s">
        <v>161</v>
      </c>
      <c r="K23" s="211">
        <v>10000</v>
      </c>
      <c r="L23" s="211">
        <v>0</v>
      </c>
      <c r="M23" s="212">
        <f>IFERROR(L23/K23*100,0)</f>
        <v>0</v>
      </c>
    </row>
    <row r="24" spans="1:21" s="172" customFormat="1" ht="32.450000000000003" customHeight="1" thickBot="1" x14ac:dyDescent="0.3">
      <c r="A24" s="292"/>
      <c r="B24" s="285"/>
      <c r="C24" s="208" t="s">
        <v>162</v>
      </c>
      <c r="D24" s="206">
        <f>IFERROR(D23/D18,0)</f>
        <v>0.22298404498684207</v>
      </c>
      <c r="E24" s="206">
        <f>IFERROR(E23/E18,0)</f>
        <v>0.22350928513230972</v>
      </c>
      <c r="F24" s="207">
        <f>E24-D24</f>
        <v>5.2524014546764808E-4</v>
      </c>
      <c r="G24" s="189"/>
      <c r="H24" s="288"/>
      <c r="I24" s="289"/>
      <c r="J24" s="213" t="s">
        <v>162</v>
      </c>
      <c r="K24" s="214">
        <f>IFERROR(K23/K13,)</f>
        <v>2.0366474339260657E-2</v>
      </c>
      <c r="L24" s="214">
        <f>IFERROR(L23/L13,)</f>
        <v>0</v>
      </c>
      <c r="M24" s="215">
        <f>L24-K24</f>
        <v>-2.0366474339260657E-2</v>
      </c>
    </row>
    <row r="25" spans="1:21" s="172" customFormat="1" ht="28.5" customHeight="1" x14ac:dyDescent="0.25">
      <c r="A25" s="292"/>
      <c r="B25" s="285" t="s">
        <v>164</v>
      </c>
      <c r="C25" s="203" t="s">
        <v>161</v>
      </c>
      <c r="D25" s="210">
        <v>25489</v>
      </c>
      <c r="E25" s="211">
        <f>'Exec Orçamentária'!F19</f>
        <v>17500</v>
      </c>
      <c r="F25" s="202">
        <f>IFERROR(E25/D25*100,0)</f>
        <v>68.65706775471773</v>
      </c>
      <c r="G25" s="189"/>
    </row>
    <row r="26" spans="1:21" s="172" customFormat="1" ht="27.75" customHeight="1" x14ac:dyDescent="0.25">
      <c r="A26" s="292"/>
      <c r="B26" s="285"/>
      <c r="C26" s="208" t="s">
        <v>162</v>
      </c>
      <c r="D26" s="206">
        <f>IFERROR(D25/D18,0)</f>
        <v>2.7569475315752642E-2</v>
      </c>
      <c r="E26" s="206">
        <f>IFERROR(E25/E18,0)</f>
        <v>2.1191702428875473E-2</v>
      </c>
      <c r="F26" s="207">
        <f>E26-D26</f>
        <v>-6.3777728868771692E-3</v>
      </c>
      <c r="G26" s="189"/>
    </row>
    <row r="27" spans="1:21" s="172" customFormat="1" ht="27" customHeight="1" x14ac:dyDescent="0.25">
      <c r="A27" s="292"/>
      <c r="B27" s="285" t="s">
        <v>165</v>
      </c>
      <c r="C27" s="203" t="s">
        <v>161</v>
      </c>
      <c r="D27" s="216">
        <v>0</v>
      </c>
      <c r="E27" s="210">
        <v>0</v>
      </c>
      <c r="F27" s="202">
        <f>IFERROR(E27/D27*100,0)</f>
        <v>0</v>
      </c>
      <c r="G27" s="304"/>
      <c r="H27" s="304"/>
      <c r="I27" s="304"/>
    </row>
    <row r="28" spans="1:21" s="172" customFormat="1" ht="31.5" customHeight="1" x14ac:dyDescent="0.25">
      <c r="A28" s="292"/>
      <c r="B28" s="285"/>
      <c r="C28" s="208" t="s">
        <v>162</v>
      </c>
      <c r="D28" s="206">
        <f>IFERROR(D27/D18,0)</f>
        <v>0</v>
      </c>
      <c r="E28" s="206">
        <f>IFERROR(E27/E18,0)</f>
        <v>0</v>
      </c>
      <c r="F28" s="207">
        <f>E28-D28</f>
        <v>0</v>
      </c>
      <c r="G28" s="189"/>
    </row>
    <row r="29" spans="1:21" s="172" customFormat="1" ht="23.25" customHeight="1" x14ac:dyDescent="0.25">
      <c r="A29" s="292"/>
      <c r="B29" s="285" t="s">
        <v>166</v>
      </c>
      <c r="C29" s="203" t="s">
        <v>161</v>
      </c>
      <c r="D29" s="210">
        <v>99217</v>
      </c>
      <c r="E29" s="211">
        <f>'Exec Orçamentária'!F19+'Exec Orçamentária'!F12+'Exec Orçamentária'!F13+'Exec Orçamentária'!F14+'Exec Orçamentária'!F15+'Exec Orçamentária'!F20</f>
        <v>17500</v>
      </c>
      <c r="F29" s="202">
        <f>IFERROR(E29/D29*100,0)</f>
        <v>17.638106372899806</v>
      </c>
      <c r="G29" s="189"/>
    </row>
    <row r="30" spans="1:21" s="172" customFormat="1" ht="28.5" customHeight="1" x14ac:dyDescent="0.25">
      <c r="A30" s="292"/>
      <c r="B30" s="285"/>
      <c r="C30" s="208" t="s">
        <v>162</v>
      </c>
      <c r="D30" s="206">
        <f>IFERROR(D29/D18,0)</f>
        <v>0.10731533729856134</v>
      </c>
      <c r="E30" s="206">
        <f>IFERROR(E29/E18,0)</f>
        <v>2.1191702428875473E-2</v>
      </c>
      <c r="F30" s="207">
        <f>E30-D30</f>
        <v>-8.6123634869685869E-2</v>
      </c>
      <c r="G30" s="189"/>
    </row>
    <row r="31" spans="1:21" s="172" customFormat="1" ht="24.75" customHeight="1" x14ac:dyDescent="0.25">
      <c r="A31" s="292"/>
      <c r="B31" s="305" t="s">
        <v>167</v>
      </c>
      <c r="C31" s="203" t="s">
        <v>161</v>
      </c>
      <c r="D31" s="210">
        <f>'[1]1- USOS E FONTES'!C33</f>
        <v>18524</v>
      </c>
      <c r="E31" s="211">
        <v>10028</v>
      </c>
      <c r="F31" s="202">
        <f>IFERROR(E31/D31*100,0)</f>
        <v>54.13517598790758</v>
      </c>
      <c r="G31" s="189"/>
    </row>
    <row r="32" spans="1:21" s="172" customFormat="1" ht="31.5" customHeight="1" thickBot="1" x14ac:dyDescent="0.3">
      <c r="A32" s="293"/>
      <c r="B32" s="306"/>
      <c r="C32" s="213" t="s">
        <v>162</v>
      </c>
      <c r="D32" s="217">
        <f>IFERROR(D31/D18,0)</f>
        <v>2.0035974763584367E-2</v>
      </c>
      <c r="E32" s="217">
        <f>IFERROR(E31/E18,0)</f>
        <v>1.2143450968957898E-2</v>
      </c>
      <c r="F32" s="215">
        <f>E32-D32</f>
        <v>-7.892523794626469E-3</v>
      </c>
      <c r="G32" s="189"/>
    </row>
    <row r="33" spans="2:2" x14ac:dyDescent="0.25">
      <c r="B33" s="218"/>
    </row>
  </sheetData>
  <mergeCells count="33">
    <mergeCell ref="A6:H6"/>
    <mergeCell ref="A7:H7"/>
    <mergeCell ref="A8:H8"/>
    <mergeCell ref="A9:H9"/>
    <mergeCell ref="A10:M10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N21:U22"/>
    <mergeCell ref="B23:B24"/>
    <mergeCell ref="H23:I24"/>
    <mergeCell ref="B25:B26"/>
    <mergeCell ref="B18:C18"/>
  </mergeCells>
  <pageMargins left="0.511811024" right="0.511811024" top="0.78740157499999996" bottom="0.78740157499999996" header="0.31496062000000002" footer="0.31496062000000002"/>
  <pageSetup paperSize="9" scale="4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1"/>
  <sheetViews>
    <sheetView zoomScale="110" zoomScaleNormal="110" zoomScaleSheetLayoutView="100" workbookViewId="0">
      <selection activeCell="I25" sqref="I25"/>
    </sheetView>
  </sheetViews>
  <sheetFormatPr defaultRowHeight="15" x14ac:dyDescent="0.25"/>
  <cols>
    <col min="1" max="1" width="49" style="12" bestFit="1" customWidth="1"/>
    <col min="2" max="2" width="10.85546875" style="12" bestFit="1" customWidth="1"/>
    <col min="3" max="3" width="10.2851562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5703125" style="12" customWidth="1"/>
    <col min="8" max="16384" width="9.140625" style="12"/>
  </cols>
  <sheetData>
    <row r="1" spans="1:7" s="77" customFormat="1" ht="21" x14ac:dyDescent="0.35">
      <c r="G1" s="78"/>
    </row>
    <row r="2" spans="1:7" s="77" customFormat="1" ht="21" x14ac:dyDescent="0.35">
      <c r="G2" s="78"/>
    </row>
    <row r="3" spans="1:7" s="77" customFormat="1" ht="21" x14ac:dyDescent="0.35">
      <c r="G3" s="78"/>
    </row>
    <row r="4" spans="1:7" s="77" customFormat="1" ht="21" x14ac:dyDescent="0.35">
      <c r="G4" s="78"/>
    </row>
    <row r="5" spans="1:7" s="77" customFormat="1" ht="21" x14ac:dyDescent="0.35">
      <c r="G5" s="78"/>
    </row>
    <row r="6" spans="1:7" s="80" customFormat="1" ht="21" x14ac:dyDescent="0.35">
      <c r="A6" s="248" t="s">
        <v>119</v>
      </c>
      <c r="B6" s="248"/>
      <c r="C6" s="248"/>
      <c r="D6" s="248"/>
      <c r="E6" s="248"/>
      <c r="F6" s="248"/>
      <c r="G6" s="248"/>
    </row>
    <row r="7" spans="1:7" s="80" customFormat="1" ht="21" x14ac:dyDescent="0.35">
      <c r="A7" s="249" t="s">
        <v>120</v>
      </c>
      <c r="B7" s="249"/>
      <c r="C7" s="249"/>
      <c r="D7" s="249"/>
      <c r="E7" s="249"/>
      <c r="F7" s="249"/>
      <c r="G7" s="249"/>
    </row>
    <row r="8" spans="1:7" s="80" customFormat="1" ht="21" x14ac:dyDescent="0.35">
      <c r="A8" s="249" t="s">
        <v>181</v>
      </c>
      <c r="B8" s="249"/>
      <c r="C8" s="249"/>
      <c r="D8" s="249"/>
      <c r="E8" s="249"/>
      <c r="F8" s="249"/>
      <c r="G8" s="249"/>
    </row>
    <row r="9" spans="1:7" s="80" customFormat="1" ht="21" x14ac:dyDescent="0.35">
      <c r="A9" s="249" t="s">
        <v>176</v>
      </c>
      <c r="B9" s="249"/>
      <c r="C9" s="249"/>
      <c r="D9" s="249"/>
      <c r="E9" s="249"/>
      <c r="F9" s="249"/>
      <c r="G9" s="249"/>
    </row>
    <row r="10" spans="1:7" s="80" customFormat="1" ht="21" customHeight="1" x14ac:dyDescent="0.35">
      <c r="A10" s="250" t="s">
        <v>122</v>
      </c>
      <c r="B10" s="250"/>
      <c r="C10" s="250"/>
      <c r="D10" s="250"/>
      <c r="E10" s="250"/>
      <c r="F10" s="250"/>
      <c r="G10" s="250"/>
    </row>
    <row r="11" spans="1:7" s="1" customFormat="1" ht="60" x14ac:dyDescent="0.25">
      <c r="A11" s="73" t="s">
        <v>12</v>
      </c>
      <c r="B11" s="73" t="s">
        <v>132</v>
      </c>
      <c r="C11" s="73" t="s">
        <v>133</v>
      </c>
      <c r="D11" s="73" t="s">
        <v>103</v>
      </c>
      <c r="E11" s="73" t="s">
        <v>102</v>
      </c>
      <c r="F11" s="73" t="s">
        <v>104</v>
      </c>
      <c r="G11" s="73" t="s">
        <v>101</v>
      </c>
    </row>
    <row r="12" spans="1:7" s="1" customFormat="1" x14ac:dyDescent="0.25">
      <c r="A12" s="245" t="s">
        <v>30</v>
      </c>
      <c r="B12" s="246"/>
      <c r="C12" s="246"/>
      <c r="D12" s="246"/>
      <c r="E12" s="246"/>
      <c r="F12" s="246"/>
      <c r="G12" s="247"/>
    </row>
    <row r="13" spans="1:7" s="1" customFormat="1" ht="24.95" customHeight="1" x14ac:dyDescent="0.25">
      <c r="A13" s="11" t="s">
        <v>20</v>
      </c>
      <c r="B13" s="13">
        <f>B14+B21+B22</f>
        <v>1081617</v>
      </c>
      <c r="C13" s="224">
        <f>C14+C21+C22</f>
        <v>966200.02999999991</v>
      </c>
      <c r="D13" s="14">
        <f>C13/B13*100-100</f>
        <v>-10.670779952608001</v>
      </c>
      <c r="E13" s="14">
        <f>E14+E21+E22</f>
        <v>72.793956501566569</v>
      </c>
      <c r="F13" s="13">
        <f>F14+F21+F22</f>
        <v>115416.96999999999</v>
      </c>
      <c r="G13" s="73" t="s">
        <v>53</v>
      </c>
    </row>
    <row r="14" spans="1:7" s="8" customFormat="1" x14ac:dyDescent="0.25">
      <c r="A14" s="3" t="s">
        <v>13</v>
      </c>
      <c r="B14" s="9">
        <f>B15+B20</f>
        <v>966721</v>
      </c>
      <c r="C14" s="225">
        <f>C15+C20</f>
        <v>869237.22</v>
      </c>
      <c r="D14" s="10">
        <f>C14/B14*100</f>
        <v>89.916037822701682</v>
      </c>
      <c r="E14" s="10">
        <f>E15+E20</f>
        <v>65.488733613703829</v>
      </c>
      <c r="F14" s="9">
        <f>F15+F20</f>
        <v>97483.779999999984</v>
      </c>
      <c r="G14" s="22" t="s">
        <v>53</v>
      </c>
    </row>
    <row r="15" spans="1:7" s="8" customFormat="1" x14ac:dyDescent="0.25">
      <c r="A15" s="3" t="s">
        <v>14</v>
      </c>
      <c r="B15" s="9">
        <f>SUM(B16:B19)</f>
        <v>451745</v>
      </c>
      <c r="C15" s="225">
        <f>SUM(C16:C19)</f>
        <v>421035.17000000004</v>
      </c>
      <c r="D15" s="10">
        <f>C15/B15*100</f>
        <v>93.201954642552778</v>
      </c>
      <c r="E15" s="10">
        <f>SUM(E16:E19)</f>
        <v>31.720984163713684</v>
      </c>
      <c r="F15" s="9">
        <f>SUM(F16:F19)</f>
        <v>30709.829999999973</v>
      </c>
      <c r="G15" s="22" t="s">
        <v>53</v>
      </c>
    </row>
    <row r="16" spans="1:7" s="1" customFormat="1" x14ac:dyDescent="0.25">
      <c r="A16" s="48" t="s">
        <v>15</v>
      </c>
      <c r="B16" s="49">
        <v>396494</v>
      </c>
      <c r="C16" s="226">
        <v>365332.28</v>
      </c>
      <c r="D16" s="15">
        <f>C16/B16*100</f>
        <v>92.140683087259845</v>
      </c>
      <c r="E16" s="15">
        <f t="shared" ref="E16:E21" si="0">C16/$C$27*100</f>
        <v>27.524302704625399</v>
      </c>
      <c r="F16" s="5">
        <f t="shared" ref="F16:F21" si="1">B16-C16</f>
        <v>31161.719999999972</v>
      </c>
      <c r="G16" s="150" t="s">
        <v>53</v>
      </c>
    </row>
    <row r="17" spans="1:7" s="1" customFormat="1" x14ac:dyDescent="0.25">
      <c r="A17" s="48" t="s">
        <v>16</v>
      </c>
      <c r="B17" s="49">
        <v>25110</v>
      </c>
      <c r="C17" s="239">
        <v>22171.279999999999</v>
      </c>
      <c r="D17" s="15">
        <f>C17/B17*100</f>
        <v>88.296614894464355</v>
      </c>
      <c r="E17" s="15">
        <f t="shared" si="0"/>
        <v>1.6703944750488704</v>
      </c>
      <c r="F17" s="5">
        <f t="shared" si="1"/>
        <v>2938.7200000000012</v>
      </c>
      <c r="G17" s="150" t="s">
        <v>53</v>
      </c>
    </row>
    <row r="18" spans="1:7" s="1" customFormat="1" x14ac:dyDescent="0.25">
      <c r="A18" s="48" t="s">
        <v>17</v>
      </c>
      <c r="B18" s="49">
        <v>30141</v>
      </c>
      <c r="C18" s="226">
        <f>2607.93+267.46+10639.5+14101.67+429+5486.05</f>
        <v>33531.61</v>
      </c>
      <c r="D18" s="15">
        <f>C18/B18*100</f>
        <v>111.24916227066122</v>
      </c>
      <c r="E18" s="15">
        <f t="shared" si="0"/>
        <v>2.5262869840394173</v>
      </c>
      <c r="F18" s="5">
        <f t="shared" si="1"/>
        <v>-3390.6100000000006</v>
      </c>
      <c r="G18" s="150" t="s">
        <v>53</v>
      </c>
    </row>
    <row r="19" spans="1:7" s="1" customFormat="1" x14ac:dyDescent="0.25">
      <c r="A19" s="48" t="s">
        <v>65</v>
      </c>
      <c r="B19" s="49">
        <v>0</v>
      </c>
      <c r="C19" s="226"/>
      <c r="D19" s="15">
        <v>0</v>
      </c>
      <c r="E19" s="15">
        <f t="shared" si="0"/>
        <v>0</v>
      </c>
      <c r="F19" s="5">
        <f t="shared" si="1"/>
        <v>0</v>
      </c>
      <c r="G19" s="150" t="s">
        <v>53</v>
      </c>
    </row>
    <row r="20" spans="1:7" s="8" customFormat="1" x14ac:dyDescent="0.25">
      <c r="A20" s="50" t="s">
        <v>18</v>
      </c>
      <c r="B20" s="51">
        <v>514976</v>
      </c>
      <c r="C20" s="240">
        <v>448202.05</v>
      </c>
      <c r="D20" s="10">
        <f t="shared" ref="D20:D39" si="2">C20/B20*100</f>
        <v>87.033580205679485</v>
      </c>
      <c r="E20" s="10">
        <f t="shared" si="0"/>
        <v>33.767749449990148</v>
      </c>
      <c r="F20" s="9">
        <f t="shared" si="1"/>
        <v>66773.950000000012</v>
      </c>
      <c r="G20" s="22" t="s">
        <v>53</v>
      </c>
    </row>
    <row r="21" spans="1:7" s="8" customFormat="1" x14ac:dyDescent="0.25">
      <c r="A21" s="50" t="s">
        <v>37</v>
      </c>
      <c r="B21" s="51">
        <v>74896</v>
      </c>
      <c r="C21" s="240">
        <v>62413.33</v>
      </c>
      <c r="D21" s="10">
        <f t="shared" si="2"/>
        <v>83.333328882717367</v>
      </c>
      <c r="E21" s="10">
        <f t="shared" si="0"/>
        <v>4.7022491079180782</v>
      </c>
      <c r="F21" s="9">
        <f t="shared" si="1"/>
        <v>12482.669999999998</v>
      </c>
      <c r="G21" s="22" t="s">
        <v>53</v>
      </c>
    </row>
    <row r="22" spans="1:7" s="8" customFormat="1" x14ac:dyDescent="0.25">
      <c r="A22" s="50" t="s">
        <v>38</v>
      </c>
      <c r="B22" s="51">
        <f>B23+B24</f>
        <v>40000</v>
      </c>
      <c r="C22" s="240">
        <f>C23+C24</f>
        <v>34549.479999999996</v>
      </c>
      <c r="D22" s="10">
        <f t="shared" si="2"/>
        <v>86.373699999999985</v>
      </c>
      <c r="E22" s="10">
        <f>E23+E24</f>
        <v>2.6029737799446599</v>
      </c>
      <c r="F22" s="9">
        <f>F23+F24</f>
        <v>5450.52</v>
      </c>
      <c r="G22" s="22" t="s">
        <v>53</v>
      </c>
    </row>
    <row r="23" spans="1:7" s="1" customFormat="1" x14ac:dyDescent="0.25">
      <c r="A23" s="48" t="s">
        <v>39</v>
      </c>
      <c r="B23" s="49">
        <v>30000</v>
      </c>
      <c r="C23" s="226">
        <v>30659.21</v>
      </c>
      <c r="D23" s="15">
        <f t="shared" si="2"/>
        <v>102.19736666666665</v>
      </c>
      <c r="E23" s="15">
        <f>C23/$C$27*100</f>
        <v>2.3098790414158801</v>
      </c>
      <c r="F23" s="5">
        <f>B23-C23</f>
        <v>-659.20999999999913</v>
      </c>
      <c r="G23" s="150"/>
    </row>
    <row r="24" spans="1:7" s="1" customFormat="1" x14ac:dyDescent="0.25">
      <c r="A24" s="48" t="s">
        <v>40</v>
      </c>
      <c r="B24" s="49">
        <v>10000</v>
      </c>
      <c r="C24" s="226">
        <f>11.01+3879.26</f>
        <v>3890.2700000000004</v>
      </c>
      <c r="D24" s="15">
        <f t="shared" si="2"/>
        <v>38.90270000000001</v>
      </c>
      <c r="E24" s="15">
        <f>C24/$C$27*100</f>
        <v>0.29309473852877999</v>
      </c>
      <c r="F24" s="5">
        <f>B24-C24</f>
        <v>6109.73</v>
      </c>
      <c r="G24" s="150" t="s">
        <v>53</v>
      </c>
    </row>
    <row r="25" spans="1:7" s="1" customFormat="1" x14ac:dyDescent="0.25">
      <c r="A25" s="11" t="s">
        <v>21</v>
      </c>
      <c r="B25" s="13">
        <f>B26</f>
        <v>361108</v>
      </c>
      <c r="C25" s="224">
        <f>C26</f>
        <v>361108</v>
      </c>
      <c r="D25" s="14">
        <f t="shared" si="2"/>
        <v>100</v>
      </c>
      <c r="E25" s="14">
        <f>E26</f>
        <v>27.206043498433445</v>
      </c>
      <c r="F25" s="13">
        <f>F26</f>
        <v>0</v>
      </c>
      <c r="G25" s="73" t="s">
        <v>53</v>
      </c>
    </row>
    <row r="26" spans="1:7" s="1" customFormat="1" x14ac:dyDescent="0.25">
      <c r="A26" s="48" t="s">
        <v>19</v>
      </c>
      <c r="B26" s="49">
        <v>361108</v>
      </c>
      <c r="C26" s="226">
        <v>361108</v>
      </c>
      <c r="D26" s="15">
        <f t="shared" si="2"/>
        <v>100</v>
      </c>
      <c r="E26" s="15">
        <f>C26/$C$27*100</f>
        <v>27.206043498433445</v>
      </c>
      <c r="F26" s="5">
        <f>B26-C26</f>
        <v>0</v>
      </c>
      <c r="G26" s="150"/>
    </row>
    <row r="27" spans="1:7" s="1" customFormat="1" x14ac:dyDescent="0.25">
      <c r="A27" s="16" t="s">
        <v>22</v>
      </c>
      <c r="B27" s="17">
        <f>B13+B25</f>
        <v>1442725</v>
      </c>
      <c r="C27" s="227">
        <f>C13+C25</f>
        <v>1327308.0299999998</v>
      </c>
      <c r="D27" s="18">
        <f t="shared" si="2"/>
        <v>92.000071392677043</v>
      </c>
      <c r="E27" s="18">
        <f>E13+E25</f>
        <v>100.00000000000001</v>
      </c>
      <c r="F27" s="17">
        <f>F13+F25</f>
        <v>115416.96999999999</v>
      </c>
      <c r="G27" s="151" t="s">
        <v>53</v>
      </c>
    </row>
    <row r="28" spans="1:7" s="1" customFormat="1" x14ac:dyDescent="0.25">
      <c r="A28" s="245" t="s">
        <v>31</v>
      </c>
      <c r="B28" s="246"/>
      <c r="C28" s="246"/>
      <c r="D28" s="246"/>
      <c r="E28" s="246"/>
      <c r="F28" s="246"/>
      <c r="G28" s="247"/>
    </row>
    <row r="29" spans="1:7" s="1" customFormat="1" ht="24.95" customHeight="1" x14ac:dyDescent="0.25">
      <c r="A29" s="11" t="s">
        <v>23</v>
      </c>
      <c r="B29" s="13">
        <f>B30+B33</f>
        <v>1307121</v>
      </c>
      <c r="C29" s="13">
        <f>C30+C33</f>
        <v>1023295.6300000001</v>
      </c>
      <c r="D29" s="14">
        <f t="shared" si="2"/>
        <v>78.286220632978896</v>
      </c>
      <c r="E29" s="14">
        <f>E30+E33</f>
        <v>90.625202945571687</v>
      </c>
      <c r="F29" s="13">
        <f>F30+F33</f>
        <v>283825.36999999994</v>
      </c>
      <c r="G29" s="11" t="s">
        <v>53</v>
      </c>
    </row>
    <row r="30" spans="1:7" s="8" customFormat="1" x14ac:dyDescent="0.25">
      <c r="A30" s="3" t="s">
        <v>26</v>
      </c>
      <c r="B30" s="9">
        <f>SUM(B31:B32)</f>
        <v>946013</v>
      </c>
      <c r="C30" s="9">
        <f>SUM(C31:C32)</f>
        <v>738428.57000000007</v>
      </c>
      <c r="D30" s="10">
        <f t="shared" si="2"/>
        <v>78.056915708346509</v>
      </c>
      <c r="E30" s="10">
        <f>SUM(E31:E32)</f>
        <v>65.396779830925581</v>
      </c>
      <c r="F30" s="9">
        <f>SUM(F31:F32)</f>
        <v>207584.42999999993</v>
      </c>
      <c r="G30" s="3" t="s">
        <v>53</v>
      </c>
    </row>
    <row r="31" spans="1:7" s="1" customFormat="1" x14ac:dyDescent="0.25">
      <c r="A31" s="48" t="s">
        <v>24</v>
      </c>
      <c r="B31" s="49">
        <v>95689</v>
      </c>
      <c r="C31" s="49">
        <f>'Exec Orçamentária'!F12+'Exec Orçamentária'!F13+'Exec Orçamentária'!F14+'Exec Orçamentária'!F15+'Exec Orçamentária'!F16+'Exec Orçamentária'!F17+'Exec Orçamentária'!F19+'Exec Orçamentária'!F20+'Exec Orçamentária'!F28</f>
        <v>17500</v>
      </c>
      <c r="D31" s="15">
        <f t="shared" si="2"/>
        <v>18.288413506254638</v>
      </c>
      <c r="E31" s="15">
        <f>C31/$C$39*100</f>
        <v>1.5498366308351228</v>
      </c>
      <c r="F31" s="5">
        <f>B31-C31</f>
        <v>78189</v>
      </c>
      <c r="G31" s="2" t="s">
        <v>53</v>
      </c>
    </row>
    <row r="32" spans="1:7" s="1" customFormat="1" x14ac:dyDescent="0.25">
      <c r="A32" s="48" t="s">
        <v>25</v>
      </c>
      <c r="B32" s="49">
        <v>850324</v>
      </c>
      <c r="C32" s="49">
        <f>'Exec Orçamentária'!F18+'Exec Orçamentária'!F21+'Exec Orçamentária'!F22+'Exec Orçamentária'!F23+'Exec Orçamentária'!F24</f>
        <v>720928.57000000007</v>
      </c>
      <c r="D32" s="15">
        <f t="shared" si="2"/>
        <v>84.782808670577339</v>
      </c>
      <c r="E32" s="15">
        <f>C32/$C$39*100</f>
        <v>63.846943200090458</v>
      </c>
      <c r="F32" s="5">
        <f>B32-C32</f>
        <v>129395.42999999993</v>
      </c>
      <c r="G32" s="2" t="s">
        <v>53</v>
      </c>
    </row>
    <row r="33" spans="1:7" s="8" customFormat="1" x14ac:dyDescent="0.25">
      <c r="A33" s="50" t="s">
        <v>27</v>
      </c>
      <c r="B33" s="51">
        <f>SUM(B34:B35)</f>
        <v>361108</v>
      </c>
      <c r="C33" s="51">
        <f>SUM(C34:C35)</f>
        <v>284867.06</v>
      </c>
      <c r="D33" s="10">
        <f t="shared" si="2"/>
        <v>78.886942410580758</v>
      </c>
      <c r="E33" s="10">
        <f>SUM(E34:E35)</f>
        <v>25.228423114646098</v>
      </c>
      <c r="F33" s="9">
        <f>SUM(F34:F35)</f>
        <v>76240.94</v>
      </c>
      <c r="G33" s="3" t="s">
        <v>53</v>
      </c>
    </row>
    <row r="34" spans="1:7" s="1" customFormat="1" x14ac:dyDescent="0.25">
      <c r="A34" s="48" t="s">
        <v>24</v>
      </c>
      <c r="B34" s="49">
        <v>361108</v>
      </c>
      <c r="C34" s="49">
        <f>'Exec Orçamentária'!F30</f>
        <v>284867.06</v>
      </c>
      <c r="D34" s="15">
        <f t="shared" si="2"/>
        <v>78.886942410580758</v>
      </c>
      <c r="E34" s="15">
        <f>C34/$C$39*100</f>
        <v>25.228423114646098</v>
      </c>
      <c r="F34" s="5">
        <f>B34-C34</f>
        <v>76240.94</v>
      </c>
      <c r="G34" s="2"/>
    </row>
    <row r="35" spans="1:7" s="1" customFormat="1" x14ac:dyDescent="0.25">
      <c r="A35" s="48" t="s">
        <v>25</v>
      </c>
      <c r="B35" s="49">
        <v>0</v>
      </c>
      <c r="C35" s="49">
        <v>0</v>
      </c>
      <c r="D35" s="15">
        <v>0</v>
      </c>
      <c r="E35" s="15">
        <f>C35/$C$39*100</f>
        <v>0</v>
      </c>
      <c r="F35" s="5">
        <f>B35-C35</f>
        <v>0</v>
      </c>
      <c r="G35" s="2" t="s">
        <v>64</v>
      </c>
    </row>
    <row r="36" spans="1:7" s="1" customFormat="1" x14ac:dyDescent="0.25">
      <c r="A36" s="11" t="s">
        <v>28</v>
      </c>
      <c r="B36" s="13">
        <v>37990</v>
      </c>
      <c r="C36" s="13">
        <f>'Exec Orçamentária'!F26</f>
        <v>34824.129999999997</v>
      </c>
      <c r="D36" s="14">
        <v>0</v>
      </c>
      <c r="E36" s="14">
        <f>C36/$C$39*100</f>
        <v>3.0840978463408182</v>
      </c>
      <c r="F36" s="13">
        <f>B36-C36</f>
        <v>3165.8700000000026</v>
      </c>
      <c r="G36" s="11" t="s">
        <v>64</v>
      </c>
    </row>
    <row r="37" spans="1:7" s="1" customFormat="1" x14ac:dyDescent="0.25">
      <c r="A37" s="11" t="s">
        <v>63</v>
      </c>
      <c r="B37" s="13">
        <v>79090</v>
      </c>
      <c r="C37" s="13">
        <f>'Exec Orçamentária'!F25</f>
        <v>71031.509999999995</v>
      </c>
      <c r="D37" s="14">
        <v>1</v>
      </c>
      <c r="E37" s="14">
        <f>C37/$C$39*100</f>
        <v>6.2906992080875037</v>
      </c>
      <c r="F37" s="13">
        <f>B37-C37</f>
        <v>8058.4900000000052</v>
      </c>
      <c r="G37" s="11" t="s">
        <v>64</v>
      </c>
    </row>
    <row r="38" spans="1:7" s="1" customFormat="1" x14ac:dyDescent="0.25">
      <c r="A38" s="11" t="s">
        <v>66</v>
      </c>
      <c r="B38" s="13">
        <v>18524</v>
      </c>
      <c r="C38" s="13">
        <v>0</v>
      </c>
      <c r="D38" s="14">
        <v>1</v>
      </c>
      <c r="E38" s="14">
        <f>C38/$C$39*100</f>
        <v>0</v>
      </c>
      <c r="F38" s="13">
        <f>B38-C38</f>
        <v>18524</v>
      </c>
      <c r="G38" s="11" t="s">
        <v>64</v>
      </c>
    </row>
    <row r="39" spans="1:7" s="1" customFormat="1" x14ac:dyDescent="0.25">
      <c r="A39" s="16" t="s">
        <v>29</v>
      </c>
      <c r="B39" s="17">
        <f>B29+B36+B37+B38</f>
        <v>1442725</v>
      </c>
      <c r="C39" s="17">
        <f>C29+C36+C37+C38</f>
        <v>1129151.27</v>
      </c>
      <c r="D39" s="18">
        <f t="shared" si="2"/>
        <v>78.265176662219076</v>
      </c>
      <c r="E39" s="18">
        <f>E29+E36</f>
        <v>93.709300791912511</v>
      </c>
      <c r="F39" s="17">
        <f>F29+F36</f>
        <v>286991.23999999993</v>
      </c>
      <c r="G39" s="16" t="s">
        <v>53</v>
      </c>
    </row>
    <row r="40" spans="1:7" s="8" customFormat="1" x14ac:dyDescent="0.25">
      <c r="A40" s="3" t="s">
        <v>32</v>
      </c>
      <c r="B40" s="9">
        <f>B27-B39</f>
        <v>0</v>
      </c>
      <c r="C40" s="9">
        <f>C27-C39</f>
        <v>198156.75999999978</v>
      </c>
      <c r="D40" s="10"/>
      <c r="E40" s="10"/>
      <c r="F40" s="9">
        <f>F27-F39</f>
        <v>-171574.26999999996</v>
      </c>
      <c r="G40" s="3"/>
    </row>
    <row r="41" spans="1:7" ht="36" customHeight="1" x14ac:dyDescent="0.25">
      <c r="A41" s="19"/>
      <c r="B41" s="19"/>
      <c r="C41" s="19"/>
      <c r="D41" s="19"/>
      <c r="E41" s="19"/>
      <c r="F41" s="19"/>
      <c r="G41" s="19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Normal="10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8" customWidth="1"/>
    <col min="2" max="3" width="4.42578125" style="38" customWidth="1"/>
    <col min="4" max="4" width="21.7109375" style="38" customWidth="1"/>
    <col min="5" max="5" width="37.140625" style="38" customWidth="1"/>
    <col min="6" max="6" width="29.28515625" style="38" customWidth="1"/>
    <col min="7" max="7" width="50.85546875" style="38" customWidth="1"/>
    <col min="8" max="9" width="37.7109375" style="38" customWidth="1"/>
    <col min="10" max="16384" width="9.140625" style="38"/>
  </cols>
  <sheetData>
    <row r="7" spans="1:9" x14ac:dyDescent="0.25">
      <c r="A7" s="253" t="s">
        <v>60</v>
      </c>
      <c r="B7" s="253"/>
      <c r="C7" s="253"/>
      <c r="D7" s="253"/>
      <c r="E7" s="253"/>
      <c r="F7" s="253"/>
      <c r="G7" s="253"/>
      <c r="H7" s="253"/>
      <c r="I7" s="253"/>
    </row>
    <row r="8" spans="1:9" x14ac:dyDescent="0.25">
      <c r="A8" s="39" t="s">
        <v>61</v>
      </c>
    </row>
    <row r="10" spans="1:9" x14ac:dyDescent="0.25">
      <c r="A10" s="252" t="s">
        <v>86</v>
      </c>
      <c r="B10" s="252"/>
      <c r="C10" s="252"/>
      <c r="D10" s="252"/>
    </row>
    <row r="12" spans="1:9" x14ac:dyDescent="0.25">
      <c r="A12" s="38" t="s">
        <v>45</v>
      </c>
      <c r="B12" s="252"/>
      <c r="C12" s="252"/>
      <c r="D12" s="252"/>
    </row>
    <row r="13" spans="1:9" x14ac:dyDescent="0.25">
      <c r="A13" s="38" t="s">
        <v>46</v>
      </c>
      <c r="B13" s="254"/>
      <c r="C13" s="254"/>
      <c r="D13" s="254"/>
    </row>
    <row r="15" spans="1:9" x14ac:dyDescent="0.25">
      <c r="A15" s="260" t="s">
        <v>57</v>
      </c>
      <c r="B15" s="260"/>
      <c r="C15" s="260"/>
      <c r="D15" s="260"/>
      <c r="E15" s="260"/>
      <c r="F15" s="260"/>
      <c r="G15" s="260"/>
      <c r="H15" s="260"/>
      <c r="I15" s="260"/>
    </row>
    <row r="16" spans="1:9" ht="18" customHeight="1" x14ac:dyDescent="0.25">
      <c r="A16" s="255" t="s">
        <v>56</v>
      </c>
      <c r="B16" s="257" t="s">
        <v>1</v>
      </c>
      <c r="C16" s="258"/>
      <c r="D16" s="259"/>
      <c r="E16" s="257" t="s">
        <v>5</v>
      </c>
      <c r="F16" s="259"/>
      <c r="G16" s="257" t="s">
        <v>6</v>
      </c>
      <c r="H16" s="259"/>
      <c r="I16" s="255" t="s">
        <v>41</v>
      </c>
    </row>
    <row r="17" spans="1:9" ht="59.25" customHeight="1" x14ac:dyDescent="0.25">
      <c r="A17" s="256"/>
      <c r="B17" s="62" t="s">
        <v>2</v>
      </c>
      <c r="C17" s="62" t="s">
        <v>42</v>
      </c>
      <c r="D17" s="62" t="s">
        <v>3</v>
      </c>
      <c r="E17" s="62" t="s">
        <v>4</v>
      </c>
      <c r="F17" s="62" t="s">
        <v>7</v>
      </c>
      <c r="G17" s="62" t="s">
        <v>8</v>
      </c>
      <c r="H17" s="62" t="s">
        <v>9</v>
      </c>
      <c r="I17" s="256"/>
    </row>
    <row r="18" spans="1:9" ht="15.75" x14ac:dyDescent="0.25">
      <c r="A18" s="64" t="s">
        <v>67</v>
      </c>
      <c r="B18" s="65" t="s">
        <v>43</v>
      </c>
      <c r="C18" s="40"/>
      <c r="D18" s="63" t="s">
        <v>70</v>
      </c>
      <c r="E18" s="58"/>
      <c r="F18" s="42"/>
      <c r="G18" s="61"/>
      <c r="H18" s="43"/>
      <c r="I18" s="42"/>
    </row>
    <row r="19" spans="1:9" ht="15.75" x14ac:dyDescent="0.25">
      <c r="A19" s="64" t="s">
        <v>67</v>
      </c>
      <c r="B19" s="65" t="s">
        <v>43</v>
      </c>
      <c r="C19" s="40"/>
      <c r="D19" s="63" t="s">
        <v>71</v>
      </c>
      <c r="E19" s="41"/>
      <c r="F19" s="42"/>
      <c r="G19" s="43"/>
      <c r="H19" s="43"/>
      <c r="I19" s="59"/>
    </row>
    <row r="20" spans="1:9" ht="31.5" x14ac:dyDescent="0.2">
      <c r="A20" s="64" t="s">
        <v>67</v>
      </c>
      <c r="B20" s="65" t="s">
        <v>43</v>
      </c>
      <c r="C20" s="40"/>
      <c r="D20" s="63" t="s">
        <v>88</v>
      </c>
      <c r="E20" s="59"/>
      <c r="F20" s="42"/>
      <c r="G20" s="42"/>
      <c r="H20" s="42"/>
      <c r="I20" s="60"/>
    </row>
    <row r="21" spans="1:9" ht="31.5" x14ac:dyDescent="0.2">
      <c r="A21" s="64" t="s">
        <v>68</v>
      </c>
      <c r="B21" s="65" t="s">
        <v>43</v>
      </c>
      <c r="C21" s="40"/>
      <c r="D21" s="63" t="s">
        <v>89</v>
      </c>
      <c r="E21" s="59"/>
      <c r="F21" s="42"/>
      <c r="G21" s="42"/>
      <c r="H21" s="43"/>
      <c r="I21" s="60"/>
    </row>
    <row r="22" spans="1:9" ht="15.75" x14ac:dyDescent="0.2">
      <c r="A22" s="64" t="s">
        <v>68</v>
      </c>
      <c r="B22" s="65" t="s">
        <v>43</v>
      </c>
      <c r="C22" s="40"/>
      <c r="D22" s="63" t="s">
        <v>90</v>
      </c>
      <c r="E22" s="59"/>
      <c r="F22" s="42"/>
      <c r="G22" s="42"/>
      <c r="H22" s="42"/>
      <c r="I22" s="60"/>
    </row>
    <row r="23" spans="1:9" ht="31.5" x14ac:dyDescent="0.2">
      <c r="A23" s="64" t="s">
        <v>68</v>
      </c>
      <c r="B23" s="65" t="s">
        <v>43</v>
      </c>
      <c r="C23" s="40"/>
      <c r="D23" s="63" t="s">
        <v>91</v>
      </c>
      <c r="E23" s="59"/>
      <c r="F23" s="44"/>
      <c r="G23" s="42"/>
      <c r="H23" s="41"/>
      <c r="I23" s="60"/>
    </row>
    <row r="24" spans="1:9" ht="15.75" x14ac:dyDescent="0.2">
      <c r="A24" s="64" t="s">
        <v>69</v>
      </c>
      <c r="B24" s="65" t="s">
        <v>44</v>
      </c>
      <c r="C24" s="40"/>
      <c r="D24" s="63" t="s">
        <v>73</v>
      </c>
      <c r="E24" s="59"/>
      <c r="F24" s="42"/>
      <c r="G24" s="42"/>
      <c r="H24" s="42"/>
      <c r="I24" s="60"/>
    </row>
    <row r="25" spans="1:9" ht="31.5" x14ac:dyDescent="0.2">
      <c r="A25" s="64" t="s">
        <v>69</v>
      </c>
      <c r="B25" s="65" t="s">
        <v>43</v>
      </c>
      <c r="C25" s="40"/>
      <c r="D25" s="63" t="s">
        <v>74</v>
      </c>
      <c r="E25" s="59"/>
      <c r="F25" s="42"/>
      <c r="G25" s="42"/>
      <c r="H25" s="42"/>
      <c r="I25" s="60"/>
    </row>
    <row r="26" spans="1:9" ht="15.75" x14ac:dyDescent="0.2">
      <c r="A26" s="64" t="s">
        <v>69</v>
      </c>
      <c r="B26" s="65" t="s">
        <v>43</v>
      </c>
      <c r="C26" s="40"/>
      <c r="D26" s="63" t="s">
        <v>75</v>
      </c>
      <c r="E26" s="59"/>
      <c r="F26" s="42"/>
      <c r="G26" s="42"/>
      <c r="H26" s="42"/>
      <c r="I26" s="60"/>
    </row>
    <row r="27" spans="1:9" ht="15.75" x14ac:dyDescent="0.2">
      <c r="A27" s="64" t="s">
        <v>69</v>
      </c>
      <c r="B27" s="65" t="s">
        <v>44</v>
      </c>
      <c r="C27" s="40"/>
      <c r="D27" s="63" t="s">
        <v>92</v>
      </c>
      <c r="E27" s="59"/>
      <c r="F27" s="42"/>
      <c r="G27" s="42"/>
      <c r="H27" s="42"/>
      <c r="I27" s="60"/>
    </row>
    <row r="28" spans="1:9" ht="63" x14ac:dyDescent="0.2">
      <c r="A28" s="64" t="s">
        <v>69</v>
      </c>
      <c r="B28" s="65" t="s">
        <v>44</v>
      </c>
      <c r="C28" s="40"/>
      <c r="D28" s="63" t="s">
        <v>93</v>
      </c>
      <c r="E28" s="59"/>
      <c r="F28" s="42"/>
      <c r="G28" s="42"/>
      <c r="H28" s="42"/>
      <c r="I28" s="60"/>
    </row>
    <row r="29" spans="1:9" ht="31.5" x14ac:dyDescent="0.2">
      <c r="A29" s="64" t="s">
        <v>69</v>
      </c>
      <c r="B29" s="65" t="s">
        <v>44</v>
      </c>
      <c r="C29" s="40"/>
      <c r="D29" s="63" t="s">
        <v>76</v>
      </c>
      <c r="E29" s="59"/>
      <c r="F29" s="42"/>
      <c r="G29" s="42"/>
      <c r="H29" s="42"/>
      <c r="I29" s="60"/>
    </row>
    <row r="30" spans="1:9" ht="63" x14ac:dyDescent="0.2">
      <c r="A30" s="64" t="s">
        <v>69</v>
      </c>
      <c r="B30" s="65" t="s">
        <v>44</v>
      </c>
      <c r="C30" s="40"/>
      <c r="D30" s="63" t="s">
        <v>72</v>
      </c>
      <c r="E30" s="59"/>
      <c r="F30" s="42"/>
      <c r="G30" s="42"/>
      <c r="H30" s="42"/>
      <c r="I30" s="60"/>
    </row>
    <row r="31" spans="1:9" ht="47.25" x14ac:dyDescent="0.2">
      <c r="A31" s="64" t="s">
        <v>69</v>
      </c>
      <c r="B31" s="65" t="s">
        <v>44</v>
      </c>
      <c r="C31" s="40"/>
      <c r="D31" s="63" t="s">
        <v>78</v>
      </c>
      <c r="E31" s="59"/>
      <c r="F31" s="42"/>
      <c r="G31" s="42"/>
      <c r="H31" s="42"/>
      <c r="I31" s="60"/>
    </row>
    <row r="32" spans="1:9" ht="63" x14ac:dyDescent="0.2">
      <c r="A32" s="64" t="s">
        <v>69</v>
      </c>
      <c r="B32" s="65" t="s">
        <v>44</v>
      </c>
      <c r="C32" s="40"/>
      <c r="D32" s="63" t="s">
        <v>79</v>
      </c>
      <c r="E32" s="59"/>
      <c r="F32" s="42"/>
      <c r="G32" s="42"/>
      <c r="H32" s="42"/>
      <c r="I32" s="60"/>
    </row>
    <row r="33" spans="1:9" ht="31.5" x14ac:dyDescent="0.2">
      <c r="A33" s="64" t="s">
        <v>69</v>
      </c>
      <c r="B33" s="65" t="s">
        <v>44</v>
      </c>
      <c r="C33" s="40"/>
      <c r="D33" s="63" t="s">
        <v>80</v>
      </c>
      <c r="E33" s="59"/>
      <c r="F33" s="42"/>
      <c r="G33" s="42"/>
      <c r="H33" s="42"/>
      <c r="I33" s="60"/>
    </row>
    <row r="34" spans="1:9" ht="47.25" x14ac:dyDescent="0.2">
      <c r="A34" s="64" t="s">
        <v>95</v>
      </c>
      <c r="B34" s="65" t="s">
        <v>43</v>
      </c>
      <c r="C34" s="40"/>
      <c r="D34" s="63" t="s">
        <v>94</v>
      </c>
      <c r="E34" s="41"/>
      <c r="F34" s="45"/>
      <c r="G34" s="46"/>
      <c r="H34" s="46"/>
      <c r="I34" s="60"/>
    </row>
    <row r="35" spans="1:9" ht="31.5" x14ac:dyDescent="0.2">
      <c r="A35" s="64" t="s">
        <v>69</v>
      </c>
      <c r="B35" s="65" t="s">
        <v>43</v>
      </c>
      <c r="C35" s="40"/>
      <c r="D35" s="63" t="s">
        <v>77</v>
      </c>
      <c r="E35" s="41"/>
      <c r="F35" s="42"/>
      <c r="G35" s="42"/>
      <c r="H35" s="42"/>
      <c r="I35" s="60"/>
    </row>
    <row r="36" spans="1:9" ht="23.25" customHeight="1" x14ac:dyDescent="0.25">
      <c r="A36" s="251" t="s">
        <v>62</v>
      </c>
      <c r="B36" s="251"/>
      <c r="C36" s="251"/>
      <c r="D36" s="251"/>
      <c r="E36" s="251"/>
      <c r="F36" s="251"/>
      <c r="G36" s="251"/>
      <c r="H36" s="251"/>
      <c r="I36" s="251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Normal="10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30" customWidth="1"/>
    <col min="3" max="4" width="4.42578125" style="1" customWidth="1"/>
    <col min="5" max="5" width="33.7109375" style="1" customWidth="1"/>
    <col min="6" max="6" width="12.140625" style="30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265" t="s">
        <v>87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13" x14ac:dyDescent="0.25">
      <c r="B7" s="1" t="s">
        <v>96</v>
      </c>
    </row>
    <row r="8" spans="1:13" x14ac:dyDescent="0.25">
      <c r="B8" s="30" t="str">
        <f>'2. Exec Plano de Ação'!A12</f>
        <v>Responsável pela Análise:</v>
      </c>
      <c r="C8" s="266"/>
      <c r="D8" s="266"/>
      <c r="E8" s="266"/>
    </row>
    <row r="9" spans="1:13" x14ac:dyDescent="0.25">
      <c r="B9" s="30" t="s">
        <v>54</v>
      </c>
      <c r="C9" s="267"/>
      <c r="D9" s="267"/>
      <c r="E9" s="267"/>
    </row>
    <row r="11" spans="1:13" x14ac:dyDescent="0.25">
      <c r="B11" s="264" t="s">
        <v>58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B12" s="269" t="s">
        <v>0</v>
      </c>
      <c r="C12" s="269" t="s">
        <v>1</v>
      </c>
      <c r="D12" s="269"/>
      <c r="E12" s="269"/>
      <c r="F12" s="269" t="s">
        <v>35</v>
      </c>
      <c r="G12" s="269"/>
      <c r="H12" s="269"/>
      <c r="I12" s="269" t="s">
        <v>36</v>
      </c>
      <c r="J12" s="269"/>
      <c r="K12" s="269" t="s">
        <v>10</v>
      </c>
      <c r="L12" s="269"/>
      <c r="M12" s="269" t="s">
        <v>34</v>
      </c>
    </row>
    <row r="13" spans="1:13" ht="75" x14ac:dyDescent="0.25">
      <c r="B13" s="269"/>
      <c r="C13" s="20" t="s">
        <v>2</v>
      </c>
      <c r="D13" s="20" t="s">
        <v>42</v>
      </c>
      <c r="E13" s="20" t="s">
        <v>3</v>
      </c>
      <c r="F13" s="20" t="s">
        <v>47</v>
      </c>
      <c r="G13" s="20" t="s">
        <v>48</v>
      </c>
      <c r="H13" s="20" t="s">
        <v>49</v>
      </c>
      <c r="I13" s="20" t="s">
        <v>50</v>
      </c>
      <c r="J13" s="20" t="s">
        <v>55</v>
      </c>
      <c r="K13" s="20" t="s">
        <v>51</v>
      </c>
      <c r="L13" s="20" t="s">
        <v>52</v>
      </c>
      <c r="M13" s="269"/>
    </row>
    <row r="14" spans="1:13" ht="24" x14ac:dyDescent="0.25">
      <c r="A14" s="1">
        <v>1</v>
      </c>
      <c r="B14" s="23" t="str">
        <f>'2. Exec Plano de Ação'!A18</f>
        <v xml:space="preserve">Comissão Exercício Profissional - CEP </v>
      </c>
      <c r="C14" s="23" t="str">
        <f>'2. Exec Plano de Ação'!B18</f>
        <v>P</v>
      </c>
      <c r="D14" s="24"/>
      <c r="E14" s="25" t="str">
        <f>'2. Exec Plano de Ação'!D18</f>
        <v>Caravana CAU</v>
      </c>
      <c r="F14" s="66">
        <v>1200</v>
      </c>
      <c r="G14" s="26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3" t="str">
        <f>'2. Exec Plano de Ação'!A19</f>
        <v xml:space="preserve">Comissão Exercício Profissional - CEP </v>
      </c>
      <c r="C15" s="23" t="str">
        <f>'2. Exec Plano de Ação'!B19</f>
        <v>P</v>
      </c>
      <c r="D15" s="24"/>
      <c r="E15" s="25" t="str">
        <f>'2. Exec Plano de Ação'!D19</f>
        <v>Cauniversitário</v>
      </c>
      <c r="F15" s="66">
        <v>3500</v>
      </c>
      <c r="G15" s="26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3" t="str">
        <f>'2. Exec Plano de Ação'!A20</f>
        <v xml:space="preserve">Comissão Exercício Profissional - CEP </v>
      </c>
      <c r="C16" s="23" t="str">
        <f>'2. Exec Plano de Ação'!B20</f>
        <v>P</v>
      </c>
      <c r="D16" s="24"/>
      <c r="E16" s="25" t="str">
        <f>'2. Exec Plano de Ação'!D20</f>
        <v>sou arquiteto, e agora?</v>
      </c>
      <c r="F16" s="66">
        <v>17000</v>
      </c>
      <c r="G16" s="26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3" t="str">
        <f>'2. Exec Plano de Ação'!A21</f>
        <v>Comissão de Ensino e Formação - CEF</v>
      </c>
      <c r="C17" s="23" t="str">
        <f>'2. Exec Plano de Ação'!B21</f>
        <v>P</v>
      </c>
      <c r="D17" s="24"/>
      <c r="E17" s="25" t="str">
        <f>'2. Exec Plano de Ação'!D21</f>
        <v>Dia do Arquiteto
(Prêmio TFG)</v>
      </c>
      <c r="F17" s="66">
        <v>22000</v>
      </c>
      <c r="G17" s="26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3" t="str">
        <f>'2. Exec Plano de Ação'!A22</f>
        <v>Comissão de Ensino e Formação - CEF</v>
      </c>
      <c r="C18" s="23" t="str">
        <f>'2. Exec Plano de Ação'!B22</f>
        <v>P</v>
      </c>
      <c r="D18" s="24"/>
      <c r="E18" s="25" t="str">
        <f>'2. Exec Plano de Ação'!D22</f>
        <v>Residência Técnica</v>
      </c>
      <c r="F18" s="66">
        <v>3250</v>
      </c>
      <c r="G18" s="26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3" t="str">
        <f>'2. Exec Plano de Ação'!A23</f>
        <v>Comissão de Ensino e Formação - CEF</v>
      </c>
      <c r="C19" s="23" t="str">
        <f>'2. Exec Plano de Ação'!B23</f>
        <v>P</v>
      </c>
      <c r="D19" s="24"/>
      <c r="E19" s="25" t="str">
        <f>'2. Exec Plano de Ação'!D23</f>
        <v>Programa de Formação continuada</v>
      </c>
      <c r="F19" s="66">
        <v>3250</v>
      </c>
      <c r="G19" s="26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3" t="str">
        <f>'2. Exec Plano de Ação'!A24</f>
        <v>Presidência</v>
      </c>
      <c r="C20" s="23" t="str">
        <f>'2. Exec Plano de Ação'!B24</f>
        <v>A</v>
      </c>
      <c r="D20" s="24"/>
      <c r="E20" s="25" t="str">
        <f>'2. Exec Plano de Ação'!D24</f>
        <v>Capacitação</v>
      </c>
      <c r="F20" s="66">
        <v>20055</v>
      </c>
      <c r="G20" s="29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3" t="str">
        <f>'2. Exec Plano de Ação'!A25</f>
        <v>Presidência</v>
      </c>
      <c r="C21" s="23" t="str">
        <f>'2. Exec Plano de Ação'!B25</f>
        <v>P</v>
      </c>
      <c r="D21" s="24"/>
      <c r="E21" s="25" t="str">
        <f>'2. Exec Plano de Ação'!D25</f>
        <v>Comunicação - plano de mídia</v>
      </c>
      <c r="F21" s="66">
        <v>30083</v>
      </c>
      <c r="G21" s="27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3" t="str">
        <f>'2. Exec Plano de Ação'!A26</f>
        <v>Presidência</v>
      </c>
      <c r="C22" s="23" t="str">
        <f>'2. Exec Plano de Ação'!B26</f>
        <v>P</v>
      </c>
      <c r="D22" s="24"/>
      <c r="E22" s="25" t="str">
        <f>'2. Exec Plano de Ação'!D26</f>
        <v>Patrocínio</v>
      </c>
      <c r="F22" s="66">
        <v>10028</v>
      </c>
      <c r="G22" s="27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3" t="str">
        <f>'2. Exec Plano de Ação'!A27</f>
        <v>Presidência</v>
      </c>
      <c r="C23" s="23" t="str">
        <f>'2. Exec Plano de Ação'!B27</f>
        <v>A</v>
      </c>
      <c r="D23" s="24"/>
      <c r="E23" s="25" t="str">
        <f>'2. Exec Plano de Ação'!D27</f>
        <v>Atendimento</v>
      </c>
      <c r="F23" s="66">
        <v>127067</v>
      </c>
      <c r="G23" s="27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3" t="str">
        <f>'2. Exec Plano de Ação'!A28</f>
        <v>Presidência</v>
      </c>
      <c r="C24" s="23" t="str">
        <f>'2. Exec Plano de Ação'!B28</f>
        <v>A</v>
      </c>
      <c r="D24" s="24"/>
      <c r="E24" s="25" t="str">
        <f>'2. Exec Plano de Ação'!D28</f>
        <v>Manutenção das rotinas administrativas do CAU/AL</v>
      </c>
      <c r="F24" s="66">
        <v>393020</v>
      </c>
      <c r="G24" s="26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3" t="str">
        <f>'2. Exec Plano de Ação'!A29</f>
        <v>Presidência</v>
      </c>
      <c r="C25" s="23" t="str">
        <f>'2. Exec Plano de Ação'!B29</f>
        <v>A</v>
      </c>
      <c r="D25" s="24"/>
      <c r="E25" s="25" t="str">
        <f>'2. Exec Plano de Ação'!D29</f>
        <v>Fiscalização sistemática</v>
      </c>
      <c r="F25" s="66">
        <v>307283</v>
      </c>
      <c r="G25" s="26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3" t="str">
        <f>'2. Exec Plano de Ação'!A30</f>
        <v>Presidência</v>
      </c>
      <c r="C26" s="23" t="str">
        <f>'2. Exec Plano de Ação'!B30</f>
        <v>A</v>
      </c>
      <c r="D26" s="24"/>
      <c r="E26" s="25" t="str">
        <f>'2. Exec Plano de Ação'!D30</f>
        <v>Ações de suprimento a demanda de deslocamento de pessoal</v>
      </c>
      <c r="F26" s="66">
        <v>55000</v>
      </c>
      <c r="G26" s="26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3" t="str">
        <f>'2. Exec Plano de Ação'!A31</f>
        <v>Presidência</v>
      </c>
      <c r="C27" s="23" t="str">
        <f>'2. Exec Plano de Ação'!B31</f>
        <v>A</v>
      </c>
      <c r="D27" s="24"/>
      <c r="E27" s="25" t="str">
        <f>'2. Exec Plano de Ação'!D31</f>
        <v>Aporte ao centro de serviços compartilhados - CSC</v>
      </c>
      <c r="F27" s="66">
        <v>77489</v>
      </c>
      <c r="G27" s="26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3" t="str">
        <f>'2. Exec Plano de Ação'!A32</f>
        <v>Presidência</v>
      </c>
      <c r="C28" s="23" t="str">
        <f>'2. Exec Plano de Ação'!B32</f>
        <v>A</v>
      </c>
      <c r="D28" s="54"/>
      <c r="E28" s="25" t="str">
        <f>'2. Exec Plano de Ação'!D32</f>
        <v>Contribuição ao fundo nacional de apoio aos CAU/CAUFS</v>
      </c>
      <c r="F28" s="66">
        <v>37990</v>
      </c>
      <c r="G28" s="28">
        <v>0</v>
      </c>
      <c r="H28" s="52">
        <f>G28/F28</f>
        <v>0</v>
      </c>
      <c r="I28" s="4">
        <v>9497.49</v>
      </c>
      <c r="J28" s="57">
        <f>I28*H28</f>
        <v>0</v>
      </c>
      <c r="K28" s="52">
        <f>I28/F28</f>
        <v>0.24999973677283496</v>
      </c>
      <c r="L28" s="52" t="e">
        <f>J28/G28</f>
        <v>#DIV/0!</v>
      </c>
      <c r="M28" s="21"/>
    </row>
    <row r="29" spans="1:13" ht="15.75" x14ac:dyDescent="0.25">
      <c r="A29" s="1">
        <v>16</v>
      </c>
      <c r="B29" s="23" t="str">
        <f>'2. Exec Plano de Ação'!A33</f>
        <v>Presidência</v>
      </c>
      <c r="C29" s="23" t="str">
        <f>'2. Exec Plano de Ação'!B33</f>
        <v>A</v>
      </c>
      <c r="D29" s="54"/>
      <c r="E29" s="25" t="str">
        <f>'2. Exec Plano de Ação'!D33</f>
        <v>Reserva de contigência</v>
      </c>
      <c r="F29" s="66">
        <v>10028</v>
      </c>
      <c r="G29" s="55">
        <v>0</v>
      </c>
      <c r="H29" s="52">
        <f t="shared" ref="H29:H31" si="4">G29/F29</f>
        <v>0</v>
      </c>
      <c r="I29" s="4"/>
      <c r="J29" s="53">
        <f t="shared" ref="J29:J31" si="5">I29*H29</f>
        <v>0</v>
      </c>
      <c r="K29" s="52">
        <f t="shared" ref="K29:K31" si="6">I29/F29</f>
        <v>0</v>
      </c>
      <c r="L29" s="52">
        <v>0</v>
      </c>
      <c r="M29" s="67"/>
    </row>
    <row r="30" spans="1:13" ht="24" x14ac:dyDescent="0.25">
      <c r="A30" s="1">
        <v>17</v>
      </c>
      <c r="B30" s="23" t="str">
        <f>'2. Exec Plano de Ação'!A34</f>
        <v>Comissão de Administração e Finanças - CAF</v>
      </c>
      <c r="C30" s="23" t="str">
        <f>'2. Exec Plano de Ação'!B34</f>
        <v>P</v>
      </c>
      <c r="D30" s="54"/>
      <c r="E30" s="25" t="str">
        <f>'2. Exec Plano de Ação'!D34</f>
        <v>Planejameno e redesenho dos processos do CAU/AL</v>
      </c>
      <c r="F30" s="66">
        <v>50000</v>
      </c>
      <c r="G30" s="55">
        <v>0</v>
      </c>
      <c r="H30" s="52">
        <f t="shared" si="4"/>
        <v>0</v>
      </c>
      <c r="I30" s="4"/>
      <c r="J30" s="53">
        <f t="shared" si="5"/>
        <v>0</v>
      </c>
      <c r="K30" s="52">
        <f t="shared" si="6"/>
        <v>0</v>
      </c>
      <c r="L30" s="52">
        <v>0</v>
      </c>
      <c r="M30" s="21"/>
    </row>
    <row r="31" spans="1:13" ht="15.75" x14ac:dyDescent="0.25">
      <c r="A31" s="1">
        <v>18</v>
      </c>
      <c r="B31" s="23" t="str">
        <f>'2. Exec Plano de Ação'!A35</f>
        <v>Presidência</v>
      </c>
      <c r="C31" s="23" t="str">
        <f>'2. Exec Plano de Ação'!B35</f>
        <v>P</v>
      </c>
      <c r="D31" s="54"/>
      <c r="E31" s="25" t="str">
        <f>'2. Exec Plano de Ação'!D35</f>
        <v xml:space="preserve">Ampliação das instalações da sede </v>
      </c>
      <c r="F31" s="66">
        <v>200000</v>
      </c>
      <c r="G31" s="28">
        <v>0</v>
      </c>
      <c r="H31" s="56">
        <f t="shared" si="4"/>
        <v>0</v>
      </c>
      <c r="I31" s="4">
        <v>28574.35</v>
      </c>
      <c r="J31" s="53">
        <f t="shared" si="5"/>
        <v>0</v>
      </c>
      <c r="K31" s="52">
        <f t="shared" si="6"/>
        <v>0.14287174999999999</v>
      </c>
      <c r="L31" s="52">
        <v>0</v>
      </c>
      <c r="M31" s="2"/>
    </row>
    <row r="32" spans="1:13" s="37" customFormat="1" ht="15.75" x14ac:dyDescent="0.25">
      <c r="B32" s="31" t="s">
        <v>11</v>
      </c>
      <c r="C32" s="31"/>
      <c r="D32" s="32"/>
      <c r="E32" s="32"/>
      <c r="F32" s="33">
        <f>SUM(F14:F31)</f>
        <v>1368243</v>
      </c>
      <c r="G32" s="34">
        <f>SUM(G14:G31)</f>
        <v>0</v>
      </c>
      <c r="H32" s="35" t="s">
        <v>53</v>
      </c>
      <c r="I32" s="33">
        <f>SUM(I14:I31)</f>
        <v>259914.54</v>
      </c>
      <c r="J32" s="47">
        <f>SUM(J14:J31)</f>
        <v>0</v>
      </c>
      <c r="K32" s="36">
        <f>I32/F32</f>
        <v>0.18996226547477313</v>
      </c>
      <c r="L32" s="35" t="s">
        <v>53</v>
      </c>
      <c r="M32" s="32"/>
    </row>
    <row r="33" spans="2:13" x14ac:dyDescent="0.25">
      <c r="B33" s="268" t="s">
        <v>33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</row>
    <row r="35" spans="2:13" ht="30" x14ac:dyDescent="0.25">
      <c r="B35" s="22" t="s">
        <v>59</v>
      </c>
      <c r="C35" s="261"/>
      <c r="D35" s="262"/>
      <c r="E35" s="262"/>
      <c r="F35" s="262"/>
      <c r="G35" s="262"/>
      <c r="H35" s="262"/>
      <c r="I35" s="262"/>
      <c r="J35" s="262"/>
      <c r="K35" s="262"/>
      <c r="L35" s="262"/>
      <c r="M35" s="263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view="pageBreakPreview" topLeftCell="A4" zoomScale="80" zoomScaleNormal="85" zoomScaleSheetLayoutView="80" workbookViewId="0">
      <selection activeCell="C20" sqref="C20"/>
    </sheetView>
  </sheetViews>
  <sheetFormatPr defaultRowHeight="21" x14ac:dyDescent="0.35"/>
  <cols>
    <col min="1" max="1" width="48" style="80" bestFit="1" customWidth="1"/>
    <col min="2" max="2" width="16.5703125" style="80" bestFit="1" customWidth="1"/>
    <col min="3" max="3" width="18.7109375" style="80" bestFit="1" customWidth="1"/>
    <col min="4" max="4" width="11.5703125" style="80" bestFit="1" customWidth="1"/>
    <col min="5" max="5" width="16.5703125" style="80" bestFit="1" customWidth="1"/>
    <col min="6" max="6" width="18.7109375" style="80" bestFit="1" customWidth="1"/>
    <col min="7" max="7" width="8.5703125" style="108" bestFit="1" customWidth="1"/>
    <col min="8" max="8" width="11.7109375" style="109" bestFit="1" customWidth="1"/>
    <col min="9" max="16384" width="9.140625" style="80"/>
  </cols>
  <sheetData>
    <row r="1" spans="1:8" s="77" customFormat="1" x14ac:dyDescent="0.35">
      <c r="G1" s="78"/>
      <c r="H1" s="79"/>
    </row>
    <row r="2" spans="1:8" s="77" customFormat="1" x14ac:dyDescent="0.35">
      <c r="G2" s="78"/>
      <c r="H2" s="79"/>
    </row>
    <row r="3" spans="1:8" s="77" customFormat="1" x14ac:dyDescent="0.35">
      <c r="G3" s="78"/>
      <c r="H3" s="79"/>
    </row>
    <row r="4" spans="1:8" s="77" customFormat="1" x14ac:dyDescent="0.35">
      <c r="G4" s="78"/>
      <c r="H4" s="79"/>
    </row>
    <row r="5" spans="1:8" s="77" customFormat="1" x14ac:dyDescent="0.35">
      <c r="G5" s="78"/>
      <c r="H5" s="79"/>
    </row>
    <row r="6" spans="1:8" x14ac:dyDescent="0.35">
      <c r="A6" s="270" t="s">
        <v>119</v>
      </c>
      <c r="B6" s="248"/>
      <c r="C6" s="248"/>
      <c r="D6" s="248"/>
      <c r="E6" s="248"/>
      <c r="F6" s="248"/>
      <c r="G6" s="248"/>
      <c r="H6" s="248"/>
    </row>
    <row r="7" spans="1:8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</row>
    <row r="8" spans="1:8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</row>
    <row r="9" spans="1:8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</row>
    <row r="10" spans="1:8" ht="21" customHeight="1" x14ac:dyDescent="0.35">
      <c r="A10" s="250" t="s">
        <v>134</v>
      </c>
      <c r="B10" s="250"/>
      <c r="C10" s="250"/>
      <c r="D10" s="250"/>
      <c r="E10" s="250"/>
      <c r="F10" s="250"/>
      <c r="G10" s="250"/>
      <c r="H10" s="167"/>
    </row>
    <row r="11" spans="1:8" ht="63" x14ac:dyDescent="0.35">
      <c r="A11" s="81" t="s">
        <v>12</v>
      </c>
      <c r="B11" s="82" t="s">
        <v>98</v>
      </c>
      <c r="C11" s="82" t="s">
        <v>179</v>
      </c>
      <c r="D11" s="83" t="s">
        <v>99</v>
      </c>
      <c r="E11" s="84" t="s">
        <v>100</v>
      </c>
      <c r="F11" s="82" t="s">
        <v>180</v>
      </c>
      <c r="G11" s="85" t="s">
        <v>99</v>
      </c>
      <c r="H11" s="85" t="s">
        <v>121</v>
      </c>
    </row>
    <row r="12" spans="1:8" x14ac:dyDescent="0.35">
      <c r="A12" s="271" t="s">
        <v>30</v>
      </c>
      <c r="B12" s="272"/>
      <c r="C12" s="272"/>
      <c r="D12" s="272"/>
      <c r="E12" s="272"/>
      <c r="F12" s="272"/>
      <c r="G12" s="272"/>
      <c r="H12" s="273"/>
    </row>
    <row r="13" spans="1:8" x14ac:dyDescent="0.35">
      <c r="A13" s="86" t="s">
        <v>20</v>
      </c>
      <c r="B13" s="87">
        <f>B14+B22+B21</f>
        <v>1130547.1000000001</v>
      </c>
      <c r="C13" s="87">
        <f>C14+C22+C21</f>
        <v>978921.63</v>
      </c>
      <c r="D13" s="88">
        <f>C13/B13</f>
        <v>0.86588310208393793</v>
      </c>
      <c r="E13" s="87">
        <f>E14+E22+E21</f>
        <v>1081617</v>
      </c>
      <c r="F13" s="87">
        <f>'Dem Fontes e Usos'!C13</f>
        <v>966200.02999999991</v>
      </c>
      <c r="G13" s="89">
        <f>F13/E13</f>
        <v>0.89329220047392</v>
      </c>
      <c r="H13" s="152">
        <f>F13/C13</f>
        <v>0.98700447552680992</v>
      </c>
    </row>
    <row r="14" spans="1:8" x14ac:dyDescent="0.35">
      <c r="A14" s="91" t="s">
        <v>13</v>
      </c>
      <c r="B14" s="92">
        <f>B15+B20</f>
        <v>1088309.1000000001</v>
      </c>
      <c r="C14" s="92">
        <f>C15+C20</f>
        <v>910831.33</v>
      </c>
      <c r="D14" s="93">
        <f t="shared" ref="D14:D27" si="0">C14/B14</f>
        <v>0.83692337958030483</v>
      </c>
      <c r="E14" s="92">
        <f>E15+E20</f>
        <v>966721</v>
      </c>
      <c r="F14" s="92">
        <f>'Dem Fontes e Usos'!C14</f>
        <v>869237.22</v>
      </c>
      <c r="G14" s="94">
        <f t="shared" ref="G14:G27" si="1">F14/E14</f>
        <v>0.89916037822701689</v>
      </c>
      <c r="H14" s="95">
        <f t="shared" ref="H14:H27" si="2">F14/C14</f>
        <v>0.95433390504913795</v>
      </c>
    </row>
    <row r="15" spans="1:8" x14ac:dyDescent="0.35">
      <c r="A15" s="96" t="s">
        <v>14</v>
      </c>
      <c r="B15" s="97">
        <f>SUM(B16:B19)</f>
        <v>481637.1</v>
      </c>
      <c r="C15" s="97">
        <f>SUM(C16:C19)</f>
        <v>437561.62999999995</v>
      </c>
      <c r="D15" s="98">
        <f t="shared" si="0"/>
        <v>0.90848821654311918</v>
      </c>
      <c r="E15" s="97">
        <f>SUM(E16:E19)</f>
        <v>451745</v>
      </c>
      <c r="F15" s="97">
        <f>'Dem Fontes e Usos'!C15</f>
        <v>421035.17000000004</v>
      </c>
      <c r="G15" s="99">
        <f t="shared" si="1"/>
        <v>0.93201954642552776</v>
      </c>
      <c r="H15" s="100">
        <f t="shared" si="2"/>
        <v>0.96223055481350162</v>
      </c>
    </row>
    <row r="16" spans="1:8" x14ac:dyDescent="0.35">
      <c r="A16" s="101" t="s">
        <v>15</v>
      </c>
      <c r="B16" s="102">
        <v>411877.1</v>
      </c>
      <c r="C16" s="241">
        <v>384530.97</v>
      </c>
      <c r="D16" s="93">
        <f t="shared" si="0"/>
        <v>0.93360609269124206</v>
      </c>
      <c r="E16" s="102">
        <v>396494</v>
      </c>
      <c r="F16" s="102">
        <f>'Dem Fontes e Usos'!C16</f>
        <v>365332.28</v>
      </c>
      <c r="G16" s="94">
        <f t="shared" si="1"/>
        <v>0.92140683087259845</v>
      </c>
      <c r="H16" s="95">
        <f t="shared" si="2"/>
        <v>0.95007244800074242</v>
      </c>
    </row>
    <row r="17" spans="1:8" x14ac:dyDescent="0.35">
      <c r="A17" s="101" t="s">
        <v>16</v>
      </c>
      <c r="B17" s="102">
        <v>23162</v>
      </c>
      <c r="C17" s="241">
        <v>20046.8</v>
      </c>
      <c r="D17" s="93">
        <f t="shared" si="0"/>
        <v>0.8655038425006476</v>
      </c>
      <c r="E17" s="102">
        <v>25110</v>
      </c>
      <c r="F17" s="102">
        <f>'Dem Fontes e Usos'!C17</f>
        <v>22171.279999999999</v>
      </c>
      <c r="G17" s="94">
        <f t="shared" si="1"/>
        <v>0.88296614894464354</v>
      </c>
      <c r="H17" s="95">
        <f t="shared" si="2"/>
        <v>1.1059760161222738</v>
      </c>
    </row>
    <row r="18" spans="1:8" x14ac:dyDescent="0.35">
      <c r="A18" s="101" t="s">
        <v>17</v>
      </c>
      <c r="B18" s="102">
        <v>46598</v>
      </c>
      <c r="C18" s="241">
        <f>3856.64+11272.69+17854.53</f>
        <v>32983.86</v>
      </c>
      <c r="D18" s="93">
        <f t="shared" si="0"/>
        <v>0.70783853384265416</v>
      </c>
      <c r="E18" s="102">
        <v>30141</v>
      </c>
      <c r="F18" s="102">
        <f>'Dem Fontes e Usos'!C18</f>
        <v>33531.61</v>
      </c>
      <c r="G18" s="94">
        <f t="shared" si="1"/>
        <v>1.1124916227066122</v>
      </c>
      <c r="H18" s="95">
        <f t="shared" si="2"/>
        <v>1.0166066069889941</v>
      </c>
    </row>
    <row r="19" spans="1:8" x14ac:dyDescent="0.35">
      <c r="A19" s="101" t="s">
        <v>65</v>
      </c>
      <c r="B19" s="102">
        <v>0</v>
      </c>
      <c r="C19" s="102">
        <v>0</v>
      </c>
      <c r="D19" s="93"/>
      <c r="E19" s="102">
        <v>0</v>
      </c>
      <c r="F19" s="92">
        <f>'Dem Fontes e Usos'!C19</f>
        <v>0</v>
      </c>
      <c r="G19" s="94"/>
      <c r="H19" s="95"/>
    </row>
    <row r="20" spans="1:8" x14ac:dyDescent="0.35">
      <c r="A20" s="96" t="s">
        <v>18</v>
      </c>
      <c r="B20" s="97">
        <v>606672</v>
      </c>
      <c r="C20" s="242">
        <v>473269.7</v>
      </c>
      <c r="D20" s="98">
        <f t="shared" si="0"/>
        <v>0.78010803201730095</v>
      </c>
      <c r="E20" s="97">
        <v>514976</v>
      </c>
      <c r="F20" s="97">
        <f>'Dem Fontes e Usos'!C20</f>
        <v>448202.05</v>
      </c>
      <c r="G20" s="99">
        <f t="shared" si="1"/>
        <v>0.87033580205679484</v>
      </c>
      <c r="H20" s="100">
        <f t="shared" si="2"/>
        <v>0.94703305535934368</v>
      </c>
    </row>
    <row r="21" spans="1:8" x14ac:dyDescent="0.35">
      <c r="A21" s="91" t="s">
        <v>37</v>
      </c>
      <c r="B21" s="92">
        <v>0</v>
      </c>
      <c r="C21" s="242">
        <v>250.11</v>
      </c>
      <c r="D21" s="93" t="e">
        <f t="shared" si="0"/>
        <v>#DIV/0!</v>
      </c>
      <c r="E21" s="92">
        <v>74896</v>
      </c>
      <c r="F21" s="92">
        <f>'Dem Fontes e Usos'!C21</f>
        <v>62413.33</v>
      </c>
      <c r="G21" s="94"/>
      <c r="H21" s="95">
        <f t="shared" si="2"/>
        <v>249.54352085082564</v>
      </c>
    </row>
    <row r="22" spans="1:8" x14ac:dyDescent="0.35">
      <c r="A22" s="96" t="s">
        <v>38</v>
      </c>
      <c r="B22" s="97">
        <f>SUM(B23:B24)</f>
        <v>42238</v>
      </c>
      <c r="C22" s="97">
        <f>SUM(C23:C24)</f>
        <v>67840.19</v>
      </c>
      <c r="D22" s="98">
        <f t="shared" si="0"/>
        <v>1.6061411525166911</v>
      </c>
      <c r="E22" s="97">
        <f>SUM(E23:E24)</f>
        <v>40000</v>
      </c>
      <c r="F22" s="97">
        <f>'Dem Fontes e Usos'!C22</f>
        <v>34549.479999999996</v>
      </c>
      <c r="G22" s="99">
        <f t="shared" si="1"/>
        <v>0.86373699999999987</v>
      </c>
      <c r="H22" s="100">
        <f t="shared" si="2"/>
        <v>0.50927746517219352</v>
      </c>
    </row>
    <row r="23" spans="1:8" x14ac:dyDescent="0.35">
      <c r="A23" s="101" t="s">
        <v>39</v>
      </c>
      <c r="B23" s="102">
        <v>26945</v>
      </c>
      <c r="C23" s="241">
        <v>49308.11</v>
      </c>
      <c r="D23" s="93">
        <f t="shared" si="0"/>
        <v>1.8299539803303024</v>
      </c>
      <c r="E23" s="102">
        <v>30000</v>
      </c>
      <c r="F23" s="102">
        <f>'Dem Fontes e Usos'!C23</f>
        <v>30659.21</v>
      </c>
      <c r="G23" s="94">
        <f t="shared" si="1"/>
        <v>1.0219736666666666</v>
      </c>
      <c r="H23" s="95">
        <f t="shared" si="2"/>
        <v>0.6217883832902944</v>
      </c>
    </row>
    <row r="24" spans="1:8" x14ac:dyDescent="0.35">
      <c r="A24" s="101" t="s">
        <v>40</v>
      </c>
      <c r="B24" s="102">
        <v>15293</v>
      </c>
      <c r="C24" s="241">
        <v>18532.080000000002</v>
      </c>
      <c r="D24" s="93">
        <f t="shared" si="0"/>
        <v>1.211801477800301</v>
      </c>
      <c r="E24" s="102">
        <v>10000</v>
      </c>
      <c r="F24" s="102">
        <f>'Dem Fontes e Usos'!C24</f>
        <v>3890.2700000000004</v>
      </c>
      <c r="G24" s="94">
        <f t="shared" si="1"/>
        <v>0.38902700000000007</v>
      </c>
      <c r="H24" s="95">
        <f t="shared" si="2"/>
        <v>0.20992085076256956</v>
      </c>
    </row>
    <row r="25" spans="1:8" x14ac:dyDescent="0.35">
      <c r="A25" s="86" t="s">
        <v>21</v>
      </c>
      <c r="B25" s="87">
        <f>B26</f>
        <v>393896.31</v>
      </c>
      <c r="C25" s="87">
        <f>C26</f>
        <v>393896.31</v>
      </c>
      <c r="D25" s="88">
        <f t="shared" si="0"/>
        <v>1</v>
      </c>
      <c r="E25" s="87">
        <f>E26</f>
        <v>361108</v>
      </c>
      <c r="F25" s="87">
        <f>F26</f>
        <v>361108</v>
      </c>
      <c r="G25" s="89">
        <f t="shared" si="1"/>
        <v>1</v>
      </c>
      <c r="H25" s="90">
        <f t="shared" si="2"/>
        <v>0.91675903234533984</v>
      </c>
    </row>
    <row r="26" spans="1:8" x14ac:dyDescent="0.35">
      <c r="A26" s="101" t="s">
        <v>19</v>
      </c>
      <c r="B26" s="102">
        <v>393896.31</v>
      </c>
      <c r="C26" s="102">
        <v>393896.31</v>
      </c>
      <c r="D26" s="103">
        <f t="shared" si="0"/>
        <v>1</v>
      </c>
      <c r="E26" s="104">
        <v>361108</v>
      </c>
      <c r="F26" s="102">
        <v>361108</v>
      </c>
      <c r="G26" s="94">
        <f t="shared" si="1"/>
        <v>1</v>
      </c>
      <c r="H26" s="95">
        <f t="shared" si="2"/>
        <v>0.91675903234533984</v>
      </c>
    </row>
    <row r="27" spans="1:8" x14ac:dyDescent="0.35">
      <c r="A27" s="86" t="s">
        <v>22</v>
      </c>
      <c r="B27" s="87">
        <f>B13+B25</f>
        <v>1524443.4100000001</v>
      </c>
      <c r="C27" s="87">
        <f>C13+C25</f>
        <v>1372817.94</v>
      </c>
      <c r="D27" s="105">
        <f t="shared" si="0"/>
        <v>0.90053716064146971</v>
      </c>
      <c r="E27" s="106">
        <f>E13+E25</f>
        <v>1442725</v>
      </c>
      <c r="F27" s="87">
        <f>F13+F25</f>
        <v>1327308.0299999998</v>
      </c>
      <c r="G27" s="89">
        <f t="shared" si="1"/>
        <v>0.92000071392677041</v>
      </c>
      <c r="H27" s="90">
        <f t="shared" si="2"/>
        <v>0.96684927500291828</v>
      </c>
    </row>
    <row r="28" spans="1:8" x14ac:dyDescent="0.35">
      <c r="C28" s="107"/>
      <c r="D28" s="108"/>
    </row>
    <row r="29" spans="1:8" x14ac:dyDescent="0.35">
      <c r="C29" s="110"/>
      <c r="D29" s="108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4"/>
  <sheetViews>
    <sheetView view="pageBreakPreview" zoomScale="75" zoomScaleNormal="80" zoomScaleSheetLayoutView="75" workbookViewId="0">
      <selection activeCell="F27" sqref="F27"/>
    </sheetView>
  </sheetViews>
  <sheetFormatPr defaultColWidth="68" defaultRowHeight="15" x14ac:dyDescent="0.25"/>
  <cols>
    <col min="1" max="1" width="47.140625" bestFit="1" customWidth="1"/>
    <col min="2" max="2" width="8.85546875" bestFit="1" customWidth="1"/>
    <col min="3" max="3" width="56.5703125" bestFit="1" customWidth="1"/>
    <col min="4" max="4" width="12.140625" customWidth="1"/>
    <col min="5" max="5" width="17.28515625" customWidth="1"/>
    <col min="6" max="6" width="14.140625" customWidth="1"/>
    <col min="7" max="7" width="18" customWidth="1"/>
    <col min="8" max="8" width="18.85546875" customWidth="1"/>
  </cols>
  <sheetData>
    <row r="1" spans="1:8" s="77" customFormat="1" ht="21" x14ac:dyDescent="0.35">
      <c r="G1" s="78"/>
      <c r="H1" s="79"/>
    </row>
    <row r="2" spans="1:8" s="77" customFormat="1" ht="21" x14ac:dyDescent="0.35">
      <c r="G2" s="78"/>
      <c r="H2" s="79"/>
    </row>
    <row r="3" spans="1:8" s="77" customFormat="1" ht="21" x14ac:dyDescent="0.35">
      <c r="G3" s="78"/>
      <c r="H3" s="79"/>
    </row>
    <row r="4" spans="1:8" s="77" customFormat="1" ht="21" x14ac:dyDescent="0.35">
      <c r="G4" s="78"/>
      <c r="H4" s="79"/>
    </row>
    <row r="5" spans="1:8" s="77" customFormat="1" ht="21" x14ac:dyDescent="0.35">
      <c r="G5" s="78"/>
      <c r="H5" s="79"/>
    </row>
    <row r="6" spans="1:8" s="80" customFormat="1" ht="21" x14ac:dyDescent="0.35">
      <c r="A6" s="270" t="s">
        <v>119</v>
      </c>
      <c r="B6" s="248"/>
      <c r="C6" s="248"/>
      <c r="D6" s="248"/>
      <c r="E6" s="248"/>
      <c r="F6" s="248"/>
      <c r="G6" s="248"/>
      <c r="H6" s="248"/>
    </row>
    <row r="7" spans="1:8" s="80" customFormat="1" ht="21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</row>
    <row r="8" spans="1:8" s="80" customFormat="1" ht="21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</row>
    <row r="9" spans="1:8" s="80" customFormat="1" ht="21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</row>
    <row r="10" spans="1:8" s="80" customFormat="1" ht="21.75" customHeight="1" thickBot="1" x14ac:dyDescent="0.4">
      <c r="A10" s="250" t="s">
        <v>123</v>
      </c>
      <c r="B10" s="250"/>
      <c r="C10" s="250"/>
      <c r="D10" s="250"/>
      <c r="E10" s="250"/>
      <c r="F10" s="250"/>
      <c r="G10" s="250"/>
      <c r="H10" s="167"/>
    </row>
    <row r="11" spans="1:8" s="1" customFormat="1" ht="54.75" customHeight="1" x14ac:dyDescent="0.25">
      <c r="A11" s="111" t="s">
        <v>56</v>
      </c>
      <c r="B11" s="112" t="s">
        <v>125</v>
      </c>
      <c r="C11" s="112" t="s">
        <v>3</v>
      </c>
      <c r="D11" s="112" t="s">
        <v>137</v>
      </c>
      <c r="E11" s="112" t="s">
        <v>135</v>
      </c>
      <c r="F11" s="112" t="s">
        <v>136</v>
      </c>
      <c r="G11" s="112" t="s">
        <v>84</v>
      </c>
      <c r="H11" s="113" t="s">
        <v>85</v>
      </c>
    </row>
    <row r="12" spans="1:8" s="1" customFormat="1" x14ac:dyDescent="0.25">
      <c r="A12" s="114" t="str">
        <f>'3. Exec Orçamentária'!B14</f>
        <v xml:space="preserve">Comissão Exercício Profissional - CEP </v>
      </c>
      <c r="B12" s="219" t="str">
        <f>'3. Exec Orçamentária'!C14</f>
        <v>P</v>
      </c>
      <c r="C12" s="221" t="s">
        <v>70</v>
      </c>
      <c r="D12" s="115">
        <v>1200</v>
      </c>
      <c r="E12" s="116">
        <f t="shared" ref="E12:E28" si="0">D12/$D$29</f>
        <v>1.1094503871538072E-3</v>
      </c>
      <c r="F12" s="237">
        <f>'3. Exec Orçamentária'!I14</f>
        <v>0</v>
      </c>
      <c r="G12" s="116">
        <f t="shared" ref="G12:G28" si="1">F12/D12</f>
        <v>0</v>
      </c>
      <c r="H12" s="117">
        <f t="shared" ref="H12:H29" si="2">F12/$D$29</f>
        <v>0</v>
      </c>
    </row>
    <row r="13" spans="1:8" s="1" customFormat="1" x14ac:dyDescent="0.25">
      <c r="A13" s="114" t="str">
        <f>'3. Exec Orçamentária'!B15</f>
        <v xml:space="preserve">Comissão Exercício Profissional - CEP </v>
      </c>
      <c r="B13" s="219" t="str">
        <f>'3. Exec Orçamentária'!C15</f>
        <v>P</v>
      </c>
      <c r="C13" s="221" t="s">
        <v>71</v>
      </c>
      <c r="D13" s="115">
        <v>3500</v>
      </c>
      <c r="E13" s="116">
        <f t="shared" si="0"/>
        <v>3.2358969625319377E-3</v>
      </c>
      <c r="F13" s="237">
        <f>'3. Exec Orçamentária'!I15</f>
        <v>0</v>
      </c>
      <c r="G13" s="116">
        <f t="shared" si="1"/>
        <v>0</v>
      </c>
      <c r="H13" s="117">
        <f t="shared" si="2"/>
        <v>0</v>
      </c>
    </row>
    <row r="14" spans="1:8" s="1" customFormat="1" x14ac:dyDescent="0.25">
      <c r="A14" s="114" t="str">
        <f>'3. Exec Orçamentária'!B16</f>
        <v xml:space="preserve">Comissão Exercício Profissional - CEP </v>
      </c>
      <c r="B14" s="219" t="str">
        <f>'3. Exec Orçamentária'!C16</f>
        <v>P</v>
      </c>
      <c r="C14" s="221" t="s">
        <v>88</v>
      </c>
      <c r="D14" s="115">
        <v>37000</v>
      </c>
      <c r="E14" s="116">
        <f t="shared" si="0"/>
        <v>3.4208053603909057E-2</v>
      </c>
      <c r="F14" s="237">
        <f>'3. Exec Orçamentária'!I16</f>
        <v>0</v>
      </c>
      <c r="G14" s="116">
        <f t="shared" si="1"/>
        <v>0</v>
      </c>
      <c r="H14" s="117">
        <f t="shared" si="2"/>
        <v>0</v>
      </c>
    </row>
    <row r="15" spans="1:8" s="1" customFormat="1" ht="25.5" x14ac:dyDescent="0.25">
      <c r="A15" s="114" t="str">
        <f>'3. Exec Orçamentária'!B17</f>
        <v>Comissão de Ensino e Formação - CEF</v>
      </c>
      <c r="B15" s="219" t="str">
        <f>'3. Exec Orçamentária'!C17</f>
        <v>P</v>
      </c>
      <c r="C15" s="221" t="s">
        <v>89</v>
      </c>
      <c r="D15" s="115">
        <v>22000</v>
      </c>
      <c r="E15" s="116">
        <f t="shared" si="0"/>
        <v>2.0339923764486467E-2</v>
      </c>
      <c r="F15" s="237">
        <f>'3. Exec Orçamentária'!I17</f>
        <v>0</v>
      </c>
      <c r="G15" s="116">
        <f t="shared" si="1"/>
        <v>0</v>
      </c>
      <c r="H15" s="117">
        <f t="shared" si="2"/>
        <v>0</v>
      </c>
    </row>
    <row r="16" spans="1:8" s="1" customFormat="1" x14ac:dyDescent="0.25">
      <c r="A16" s="114" t="str">
        <f>'3. Exec Orçamentária'!B18</f>
        <v>Comissão de Ensino e Formação - CEF</v>
      </c>
      <c r="B16" s="219" t="str">
        <f>'3. Exec Orçamentária'!C18</f>
        <v>P</v>
      </c>
      <c r="C16" s="221" t="s">
        <v>90</v>
      </c>
      <c r="D16" s="115">
        <v>3250</v>
      </c>
      <c r="E16" s="116">
        <f t="shared" si="0"/>
        <v>3.0047614652082277E-3</v>
      </c>
      <c r="F16" s="237">
        <f>'3. Exec Orçamentária'!I18</f>
        <v>0</v>
      </c>
      <c r="G16" s="116">
        <f t="shared" si="1"/>
        <v>0</v>
      </c>
      <c r="H16" s="117">
        <f t="shared" si="2"/>
        <v>0</v>
      </c>
    </row>
    <row r="17" spans="1:8" s="1" customFormat="1" x14ac:dyDescent="0.25">
      <c r="A17" s="114" t="str">
        <f>'3. Exec Orçamentária'!B19</f>
        <v>Comissão de Ensino e Formação - CEF</v>
      </c>
      <c r="B17" s="219" t="str">
        <f>'3. Exec Orçamentária'!C19</f>
        <v>P</v>
      </c>
      <c r="C17" s="221" t="s">
        <v>91</v>
      </c>
      <c r="D17" s="115">
        <v>3250</v>
      </c>
      <c r="E17" s="116">
        <f t="shared" si="0"/>
        <v>3.0047614652082277E-3</v>
      </c>
      <c r="F17" s="237">
        <f>'3. Exec Orçamentária'!I19</f>
        <v>0</v>
      </c>
      <c r="G17" s="116">
        <f t="shared" si="1"/>
        <v>0</v>
      </c>
      <c r="H17" s="117">
        <f t="shared" si="2"/>
        <v>0</v>
      </c>
    </row>
    <row r="18" spans="1:8" s="1" customFormat="1" x14ac:dyDescent="0.25">
      <c r="A18" s="114" t="str">
        <f>'3. Exec Orçamentária'!B20</f>
        <v>Presidência</v>
      </c>
      <c r="B18" s="219" t="str">
        <f>'3. Exec Orçamentária'!C20</f>
        <v>A</v>
      </c>
      <c r="C18" s="221" t="s">
        <v>73</v>
      </c>
      <c r="D18" s="115">
        <v>10000</v>
      </c>
      <c r="E18" s="116">
        <f t="shared" si="0"/>
        <v>9.2454198929483936E-3</v>
      </c>
      <c r="F18" s="237">
        <f>'3. Exec Orçamentária'!I20</f>
        <v>0</v>
      </c>
      <c r="G18" s="116">
        <f t="shared" si="1"/>
        <v>0</v>
      </c>
      <c r="H18" s="117">
        <f t="shared" si="2"/>
        <v>0</v>
      </c>
    </row>
    <row r="19" spans="1:8" s="1" customFormat="1" x14ac:dyDescent="0.25">
      <c r="A19" s="114" t="str">
        <f>'3. Exec Orçamentária'!B21</f>
        <v>Presidência</v>
      </c>
      <c r="B19" s="219" t="str">
        <f>'3. Exec Orçamentária'!C21</f>
        <v>P</v>
      </c>
      <c r="C19" s="221" t="s">
        <v>74</v>
      </c>
      <c r="D19" s="115">
        <v>25489</v>
      </c>
      <c r="E19" s="116">
        <f t="shared" si="0"/>
        <v>2.356565076513616E-2</v>
      </c>
      <c r="F19" s="237">
        <v>17500</v>
      </c>
      <c r="G19" s="116">
        <f t="shared" si="1"/>
        <v>0.68657067754717727</v>
      </c>
      <c r="H19" s="117">
        <f t="shared" si="2"/>
        <v>1.6179484812659687E-2</v>
      </c>
    </row>
    <row r="20" spans="1:8" s="1" customFormat="1" x14ac:dyDescent="0.25">
      <c r="A20" s="114" t="str">
        <f>'3. Exec Orçamentária'!B22</f>
        <v>Presidência</v>
      </c>
      <c r="B20" s="219" t="str">
        <f>'3. Exec Orçamentária'!C22</f>
        <v>P</v>
      </c>
      <c r="C20" s="221" t="s">
        <v>75</v>
      </c>
      <c r="D20" s="115">
        <v>0</v>
      </c>
      <c r="E20" s="116">
        <f t="shared" si="0"/>
        <v>0</v>
      </c>
      <c r="F20" s="237">
        <v>0</v>
      </c>
      <c r="G20" s="116" t="e">
        <f t="shared" si="1"/>
        <v>#DIV/0!</v>
      </c>
      <c r="H20" s="117">
        <f t="shared" si="2"/>
        <v>0</v>
      </c>
    </row>
    <row r="21" spans="1:8" s="1" customFormat="1" x14ac:dyDescent="0.25">
      <c r="A21" s="114" t="str">
        <f>'3. Exec Orçamentária'!B23</f>
        <v>Presidência</v>
      </c>
      <c r="B21" s="219" t="str">
        <f>'3. Exec Orçamentária'!C23</f>
        <v>A</v>
      </c>
      <c r="C21" s="221" t="s">
        <v>92</v>
      </c>
      <c r="D21" s="115">
        <f>'3. Exec Orçamentária'!F23</f>
        <v>127067</v>
      </c>
      <c r="E21" s="116">
        <f t="shared" si="0"/>
        <v>0.11747877695372735</v>
      </c>
      <c r="F21" s="238">
        <v>113541.32</v>
      </c>
      <c r="G21" s="116">
        <f t="shared" si="1"/>
        <v>0.89355473883856551</v>
      </c>
      <c r="H21" s="117">
        <f t="shared" si="2"/>
        <v>0.10497371785996193</v>
      </c>
    </row>
    <row r="22" spans="1:8" s="1" customFormat="1" x14ac:dyDescent="0.25">
      <c r="A22" s="114" t="str">
        <f>'3. Exec Orçamentária'!B24</f>
        <v>Presidência</v>
      </c>
      <c r="B22" s="219" t="str">
        <f>'3. Exec Orçamentária'!C24</f>
        <v>A</v>
      </c>
      <c r="C22" s="221" t="s">
        <v>93</v>
      </c>
      <c r="D22" s="115">
        <v>412645</v>
      </c>
      <c r="E22" s="116">
        <f t="shared" si="0"/>
        <v>0.38150762917256897</v>
      </c>
      <c r="F22" s="238">
        <v>353055.08</v>
      </c>
      <c r="G22" s="116">
        <f t="shared" si="1"/>
        <v>0.85559035005876727</v>
      </c>
      <c r="H22" s="117">
        <f t="shared" si="2"/>
        <v>0.32641424599384866</v>
      </c>
    </row>
    <row r="23" spans="1:8" s="1" customFormat="1" x14ac:dyDescent="0.25">
      <c r="A23" s="114" t="str">
        <f>'3. Exec Orçamentária'!B25</f>
        <v>Presidência</v>
      </c>
      <c r="B23" s="219" t="str">
        <f>'3. Exec Orçamentária'!C25</f>
        <v>A</v>
      </c>
      <c r="C23" s="221" t="s">
        <v>76</v>
      </c>
      <c r="D23" s="115">
        <v>245612</v>
      </c>
      <c r="E23" s="116">
        <f t="shared" si="0"/>
        <v>0.22707860707468408</v>
      </c>
      <c r="F23" s="237">
        <v>211613.39</v>
      </c>
      <c r="G23" s="116">
        <f t="shared" si="1"/>
        <v>0.86157594091493905</v>
      </c>
      <c r="H23" s="117">
        <f t="shared" si="2"/>
        <v>0.19564546455202467</v>
      </c>
    </row>
    <row r="24" spans="1:8" s="1" customFormat="1" x14ac:dyDescent="0.25">
      <c r="A24" s="114" t="str">
        <f>'3. Exec Orçamentária'!B26</f>
        <v>Presidência</v>
      </c>
      <c r="B24" s="219" t="str">
        <f>'3. Exec Orçamentária'!C26</f>
        <v>A</v>
      </c>
      <c r="C24" s="221" t="s">
        <v>72</v>
      </c>
      <c r="D24" s="115">
        <f>'3. Exec Orçamentária'!F26</f>
        <v>55000</v>
      </c>
      <c r="E24" s="116">
        <f t="shared" si="0"/>
        <v>5.0849809411216161E-2</v>
      </c>
      <c r="F24" s="237">
        <v>42718.78</v>
      </c>
      <c r="G24" s="116">
        <f t="shared" si="1"/>
        <v>0.7767050909090909</v>
      </c>
      <c r="H24" s="117">
        <f t="shared" si="2"/>
        <v>3.9495305841448593E-2</v>
      </c>
    </row>
    <row r="25" spans="1:8" s="1" customFormat="1" x14ac:dyDescent="0.25">
      <c r="A25" s="114" t="str">
        <f>'3. Exec Orçamentária'!B27</f>
        <v>Presidência</v>
      </c>
      <c r="B25" s="219" t="str">
        <f>'3. Exec Orçamentária'!C27</f>
        <v>A</v>
      </c>
      <c r="C25" s="221" t="s">
        <v>78</v>
      </c>
      <c r="D25" s="115">
        <v>79090</v>
      </c>
      <c r="E25" s="116">
        <f t="shared" si="0"/>
        <v>7.3122025933328838E-2</v>
      </c>
      <c r="F25" s="238">
        <v>71031.509999999995</v>
      </c>
      <c r="G25" s="116">
        <f t="shared" si="1"/>
        <v>0.89810987482614735</v>
      </c>
      <c r="H25" s="117">
        <f t="shared" si="2"/>
        <v>6.5671613558016262E-2</v>
      </c>
    </row>
    <row r="26" spans="1:8" s="1" customFormat="1" x14ac:dyDescent="0.25">
      <c r="A26" s="114" t="str">
        <f>'3. Exec Orçamentária'!B28</f>
        <v>Presidência</v>
      </c>
      <c r="B26" s="219" t="str">
        <f>'3. Exec Orçamentária'!C28</f>
        <v>A</v>
      </c>
      <c r="C26" s="221" t="s">
        <v>79</v>
      </c>
      <c r="D26" s="115">
        <f>'3. Exec Orçamentária'!F28</f>
        <v>37990</v>
      </c>
      <c r="E26" s="116">
        <f t="shared" si="0"/>
        <v>3.5123350173310947E-2</v>
      </c>
      <c r="F26" s="238">
        <v>34824.129999999997</v>
      </c>
      <c r="G26" s="118">
        <f t="shared" si="1"/>
        <v>0.91666570150039473</v>
      </c>
      <c r="H26" s="117">
        <f t="shared" si="2"/>
        <v>3.2196370425662091E-2</v>
      </c>
    </row>
    <row r="27" spans="1:8" s="1" customFormat="1" x14ac:dyDescent="0.25">
      <c r="A27" s="114" t="str">
        <f>'3. Exec Orçamentária'!B29</f>
        <v>Presidência</v>
      </c>
      <c r="B27" s="219" t="str">
        <f>'3. Exec Orçamentária'!C29</f>
        <v>A</v>
      </c>
      <c r="C27" s="221" t="s">
        <v>168</v>
      </c>
      <c r="D27" s="115">
        <v>18523.64</v>
      </c>
      <c r="E27" s="116">
        <f t="shared" si="0"/>
        <v>1.7125882974581456E-2</v>
      </c>
      <c r="F27" s="237">
        <f>'3. Exec Orçamentária'!I29</f>
        <v>0</v>
      </c>
      <c r="G27" s="118">
        <f t="shared" si="1"/>
        <v>0</v>
      </c>
      <c r="H27" s="117">
        <f t="shared" si="2"/>
        <v>0</v>
      </c>
    </row>
    <row r="28" spans="1:8" s="1" customFormat="1" x14ac:dyDescent="0.25">
      <c r="A28" s="114" t="str">
        <f>'3. Exec Orçamentária'!B30</f>
        <v>Comissão de Administração e Finanças - CAF</v>
      </c>
      <c r="B28" s="219" t="str">
        <f>'3. Exec Orçamentária'!C30</f>
        <v>P</v>
      </c>
      <c r="C28" s="221" t="s">
        <v>169</v>
      </c>
      <c r="D28" s="115">
        <v>0</v>
      </c>
      <c r="E28" s="116">
        <f t="shared" si="0"/>
        <v>0</v>
      </c>
      <c r="F28" s="237">
        <f>'3. Exec Orçamentária'!I30</f>
        <v>0</v>
      </c>
      <c r="G28" s="118" t="e">
        <f t="shared" si="1"/>
        <v>#DIV/0!</v>
      </c>
      <c r="H28" s="117">
        <f t="shared" si="2"/>
        <v>0</v>
      </c>
    </row>
    <row r="29" spans="1:8" s="1" customFormat="1" ht="15.75" x14ac:dyDescent="0.25">
      <c r="A29" s="119" t="s">
        <v>81</v>
      </c>
      <c r="B29" s="220"/>
      <c r="C29" s="120"/>
      <c r="D29" s="121">
        <f>SUM(D12:D28)</f>
        <v>1081616.6399999999</v>
      </c>
      <c r="E29" s="122">
        <f t="shared" ref="E29" si="3">D29/$D$29</f>
        <v>1</v>
      </c>
      <c r="F29" s="228">
        <f>SUM(F12:F28)</f>
        <v>844284.21000000008</v>
      </c>
      <c r="G29" s="123">
        <f t="shared" ref="G29" si="4">F29/D29</f>
        <v>0.78057620304362196</v>
      </c>
      <c r="H29" s="231">
        <f t="shared" si="2"/>
        <v>0.78057620304362196</v>
      </c>
    </row>
    <row r="30" spans="1:8" s="1" customFormat="1" x14ac:dyDescent="0.25">
      <c r="A30" s="114" t="str">
        <f>'3. Exec Orçamentária'!B31</f>
        <v>Presidência</v>
      </c>
      <c r="B30" s="219" t="str">
        <f>'3. Exec Orçamentária'!C31</f>
        <v>P</v>
      </c>
      <c r="C30" s="221" t="s">
        <v>77</v>
      </c>
      <c r="D30" s="124">
        <v>361108</v>
      </c>
      <c r="E30" s="116">
        <f>D30/$D$31</f>
        <v>1</v>
      </c>
      <c r="F30" s="237">
        <v>284867.06</v>
      </c>
      <c r="G30" s="118">
        <f>F30/D30</f>
        <v>0.78886942410580763</v>
      </c>
      <c r="H30" s="232">
        <f>F30/D31</f>
        <v>0.78886942410580763</v>
      </c>
    </row>
    <row r="31" spans="1:8" s="37" customFormat="1" ht="15.75" x14ac:dyDescent="0.25">
      <c r="A31" s="119" t="s">
        <v>82</v>
      </c>
      <c r="B31" s="220"/>
      <c r="C31" s="120"/>
      <c r="D31" s="121">
        <f>SUM(D30:D30)</f>
        <v>361108</v>
      </c>
      <c r="E31" s="122">
        <f>D31/$D$31</f>
        <v>1</v>
      </c>
      <c r="F31" s="228">
        <f>SUM(F30:F30)</f>
        <v>284867.06</v>
      </c>
      <c r="G31" s="123">
        <f>F31/D31</f>
        <v>0.78886942410580763</v>
      </c>
      <c r="H31" s="231">
        <f>F31/D31</f>
        <v>0.78886942410580763</v>
      </c>
    </row>
    <row r="32" spans="1:8" x14ac:dyDescent="0.25">
      <c r="A32" s="125"/>
      <c r="B32" s="126"/>
      <c r="C32" s="126"/>
      <c r="D32" s="126"/>
      <c r="E32" s="126"/>
      <c r="F32" s="229"/>
      <c r="G32" s="126"/>
      <c r="H32" s="127"/>
    </row>
    <row r="33" spans="1:8" ht="16.5" thickBot="1" x14ac:dyDescent="0.3">
      <c r="A33" s="128" t="s">
        <v>83</v>
      </c>
      <c r="B33" s="129"/>
      <c r="C33" s="130"/>
      <c r="D33" s="131">
        <f>D29+D31</f>
        <v>1442724.64</v>
      </c>
      <c r="E33" s="132">
        <f>D33/$D$33</f>
        <v>1</v>
      </c>
      <c r="F33" s="230">
        <f>F29+F31</f>
        <v>1129151.27</v>
      </c>
      <c r="G33" s="133">
        <f>F33/D33</f>
        <v>0.78265196191561548</v>
      </c>
      <c r="H33" s="134">
        <f>F33/D33</f>
        <v>0.78265196191561548</v>
      </c>
    </row>
    <row r="34" spans="1:8" x14ac:dyDescent="0.25">
      <c r="A34" t="s">
        <v>124</v>
      </c>
    </row>
  </sheetData>
  <autoFilter ref="A11:H31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70" orientation="landscape" r:id="rId1"/>
  <ignoredErrors>
    <ignoredError sqref="G20 G2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4"/>
  <sheetViews>
    <sheetView view="pageBreakPreview" topLeftCell="A4" zoomScale="85" zoomScaleNormal="100" zoomScaleSheetLayoutView="85" workbookViewId="0">
      <selection activeCell="G22" sqref="G22"/>
    </sheetView>
  </sheetViews>
  <sheetFormatPr defaultRowHeight="15" x14ac:dyDescent="0.25"/>
  <cols>
    <col min="1" max="1" width="10.85546875" style="74" bestFit="1" customWidth="1"/>
    <col min="2" max="2" width="11.85546875" style="74" bestFit="1" customWidth="1"/>
    <col min="3" max="3" width="12.28515625" style="74" bestFit="1" customWidth="1"/>
    <col min="4" max="4" width="11.85546875" style="74" bestFit="1" customWidth="1"/>
    <col min="5" max="5" width="12.7109375" style="74" bestFit="1" customWidth="1"/>
    <col min="6" max="6" width="12.28515625" style="74" bestFit="1" customWidth="1"/>
    <col min="7" max="8" width="12.7109375" style="74" bestFit="1" customWidth="1"/>
    <col min="9" max="9" width="12.28515625" style="74" bestFit="1" customWidth="1"/>
    <col min="10" max="10" width="11.28515625" style="74" bestFit="1" customWidth="1"/>
    <col min="11" max="11" width="12.7109375" style="74" bestFit="1" customWidth="1"/>
    <col min="12" max="13" width="12.28515625" style="74" bestFit="1" customWidth="1"/>
    <col min="14" max="14" width="16.28515625" style="74" bestFit="1" customWidth="1"/>
    <col min="15" max="16384" width="9.140625" style="74"/>
  </cols>
  <sheetData>
    <row r="1" spans="1:14" s="77" customFormat="1" ht="21" x14ac:dyDescent="0.35">
      <c r="G1" s="78"/>
      <c r="H1" s="79"/>
    </row>
    <row r="2" spans="1:14" s="77" customFormat="1" ht="21" x14ac:dyDescent="0.35">
      <c r="G2" s="78"/>
      <c r="H2" s="79"/>
    </row>
    <row r="3" spans="1:14" s="77" customFormat="1" ht="21" x14ac:dyDescent="0.35">
      <c r="G3" s="78"/>
      <c r="H3" s="79"/>
    </row>
    <row r="4" spans="1:14" s="77" customFormat="1" ht="21" x14ac:dyDescent="0.35">
      <c r="G4" s="78"/>
      <c r="H4" s="79"/>
    </row>
    <row r="5" spans="1:14" s="77" customFormat="1" ht="21" x14ac:dyDescent="0.35">
      <c r="G5" s="78"/>
      <c r="H5" s="79"/>
    </row>
    <row r="6" spans="1:14" s="80" customFormat="1" ht="21" customHeight="1" x14ac:dyDescent="0.35">
      <c r="A6" s="270" t="s">
        <v>119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s="80" customFormat="1" ht="21" customHeight="1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4" s="80" customFormat="1" ht="21" customHeight="1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</row>
    <row r="9" spans="1:14" s="80" customFormat="1" ht="21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0" spans="1:14" s="80" customFormat="1" ht="21.75" customHeight="1" thickBot="1" x14ac:dyDescent="0.4">
      <c r="A10" s="250" t="s">
        <v>131</v>
      </c>
      <c r="B10" s="250"/>
      <c r="C10" s="250"/>
      <c r="D10" s="250"/>
      <c r="E10" s="250"/>
      <c r="F10" s="250"/>
      <c r="G10" s="250"/>
      <c r="H10" s="167"/>
      <c r="I10" s="250"/>
      <c r="J10" s="250"/>
      <c r="K10" s="250"/>
      <c r="L10" s="250"/>
      <c r="M10" s="250"/>
      <c r="N10" s="250"/>
    </row>
    <row r="11" spans="1:14" ht="31.5" customHeight="1" thickBot="1" x14ac:dyDescent="0.3">
      <c r="A11" s="275" t="s">
        <v>171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</row>
    <row r="12" spans="1:14" ht="31.5" customHeight="1" x14ac:dyDescent="0.25">
      <c r="A12" s="158" t="s">
        <v>113</v>
      </c>
      <c r="B12" s="159" t="s">
        <v>106</v>
      </c>
      <c r="C12" s="159" t="s">
        <v>107</v>
      </c>
      <c r="D12" s="159" t="s">
        <v>108</v>
      </c>
      <c r="E12" s="159" t="s">
        <v>109</v>
      </c>
      <c r="F12" s="159" t="s">
        <v>110</v>
      </c>
      <c r="G12" s="159" t="s">
        <v>111</v>
      </c>
      <c r="H12" s="159" t="s">
        <v>112</v>
      </c>
      <c r="I12" s="159" t="s">
        <v>114</v>
      </c>
      <c r="J12" s="159" t="s">
        <v>115</v>
      </c>
      <c r="K12" s="159" t="s">
        <v>116</v>
      </c>
      <c r="L12" s="159" t="s">
        <v>117</v>
      </c>
      <c r="M12" s="161" t="s">
        <v>118</v>
      </c>
      <c r="N12" s="160" t="s">
        <v>11</v>
      </c>
    </row>
    <row r="13" spans="1:14" ht="31.5" customHeight="1" x14ac:dyDescent="0.25">
      <c r="A13" s="136">
        <v>2014</v>
      </c>
      <c r="B13" s="153">
        <v>102540.39</v>
      </c>
      <c r="C13" s="153">
        <v>157602.09</v>
      </c>
      <c r="D13" s="153">
        <v>66469.36</v>
      </c>
      <c r="E13" s="153">
        <v>85967.12</v>
      </c>
      <c r="F13" s="153">
        <v>120916.08</v>
      </c>
      <c r="G13" s="153">
        <v>73971.38</v>
      </c>
      <c r="H13" s="153">
        <v>84775.11</v>
      </c>
      <c r="I13" s="153">
        <v>110286</v>
      </c>
      <c r="J13" s="153">
        <v>65652.98</v>
      </c>
      <c r="K13" s="153">
        <v>121800.08</v>
      </c>
      <c r="L13" s="153">
        <v>49853.61</v>
      </c>
      <c r="M13" s="162">
        <v>102483.68</v>
      </c>
      <c r="N13" s="155">
        <f>SUM(B13:M13)</f>
        <v>1142317.8799999999</v>
      </c>
    </row>
    <row r="14" spans="1:14" ht="31.5" customHeight="1" x14ac:dyDescent="0.25">
      <c r="A14" s="136">
        <v>2015</v>
      </c>
      <c r="B14" s="154">
        <v>115645.97</v>
      </c>
      <c r="C14" s="154">
        <v>159671.28</v>
      </c>
      <c r="D14" s="154">
        <v>101851.21</v>
      </c>
      <c r="E14" s="154">
        <v>91442.12</v>
      </c>
      <c r="F14" s="154">
        <v>93753.14</v>
      </c>
      <c r="G14" s="154">
        <v>83782.45</v>
      </c>
      <c r="H14" s="154">
        <v>85388.82</v>
      </c>
      <c r="I14" s="154">
        <v>63805.98</v>
      </c>
      <c r="J14" s="154">
        <v>67896.72</v>
      </c>
      <c r="K14" s="154">
        <v>64399.97</v>
      </c>
      <c r="L14" s="154">
        <v>51283.97</v>
      </c>
      <c r="M14" s="163">
        <v>53127.519999999997</v>
      </c>
      <c r="N14" s="156">
        <f>SUM(B14:M14)</f>
        <v>1032049.1499999999</v>
      </c>
    </row>
    <row r="15" spans="1:14" ht="28.5" customHeight="1" thickBot="1" x14ac:dyDescent="0.3">
      <c r="A15" s="137">
        <v>2016</v>
      </c>
      <c r="B15" s="75">
        <v>95810.240000000005</v>
      </c>
      <c r="C15" s="75">
        <v>132769.26</v>
      </c>
      <c r="D15" s="75">
        <v>93104.24</v>
      </c>
      <c r="E15" s="75">
        <v>85829.01</v>
      </c>
      <c r="F15" s="75">
        <v>81155.570000000007</v>
      </c>
      <c r="G15" s="75">
        <v>89337.59</v>
      </c>
      <c r="H15" s="75">
        <v>60562.13</v>
      </c>
      <c r="I15" s="75">
        <v>73191.02</v>
      </c>
      <c r="J15" s="75">
        <v>118134.86</v>
      </c>
      <c r="K15" s="75">
        <v>68261.34</v>
      </c>
      <c r="L15" s="243">
        <v>68044.429999999993</v>
      </c>
      <c r="M15" s="164" t="s">
        <v>64</v>
      </c>
      <c r="N15" s="157">
        <f>SUM(B15:M15)</f>
        <v>966199.69</v>
      </c>
    </row>
    <row r="16" spans="1:14" ht="15.75" thickBot="1" x14ac:dyDescent="0.3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31.5" customHeight="1" thickBot="1" x14ac:dyDescent="0.3">
      <c r="A17" s="275" t="s">
        <v>172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</row>
    <row r="18" spans="1:14" ht="31.5" customHeight="1" x14ac:dyDescent="0.25">
      <c r="A18" s="135" t="s">
        <v>113</v>
      </c>
      <c r="B18" s="138" t="s">
        <v>106</v>
      </c>
      <c r="C18" s="138" t="s">
        <v>107</v>
      </c>
      <c r="D18" s="138" t="s">
        <v>108</v>
      </c>
      <c r="E18" s="138" t="s">
        <v>109</v>
      </c>
      <c r="F18" s="138" t="s">
        <v>110</v>
      </c>
      <c r="G18" s="138" t="s">
        <v>111</v>
      </c>
      <c r="H18" s="138" t="s">
        <v>112</v>
      </c>
      <c r="I18" s="138" t="s">
        <v>114</v>
      </c>
      <c r="J18" s="138" t="s">
        <v>115</v>
      </c>
      <c r="K18" s="138" t="s">
        <v>116</v>
      </c>
      <c r="L18" s="138" t="s">
        <v>117</v>
      </c>
      <c r="M18" s="138" t="s">
        <v>118</v>
      </c>
      <c r="N18" s="139" t="s">
        <v>11</v>
      </c>
    </row>
    <row r="19" spans="1:14" ht="31.5" customHeight="1" x14ac:dyDescent="0.25">
      <c r="A19" s="136">
        <v>2014</v>
      </c>
      <c r="B19" s="153">
        <v>102540.39</v>
      </c>
      <c r="C19" s="153">
        <f>157602.09-10075.22</f>
        <v>147526.87</v>
      </c>
      <c r="D19" s="153">
        <v>66469.36</v>
      </c>
      <c r="E19" s="153">
        <f>85967.12-10075.22</f>
        <v>75891.899999999994</v>
      </c>
      <c r="F19" s="153">
        <f>120916.08-36978.81</f>
        <v>83937.27</v>
      </c>
      <c r="G19" s="153">
        <v>73971.38</v>
      </c>
      <c r="H19" s="153">
        <f>84775.11-19043.08</f>
        <v>65732.03</v>
      </c>
      <c r="I19" s="153">
        <f>110286-38086.16</f>
        <v>72199.839999999997</v>
      </c>
      <c r="J19" s="153">
        <v>65652.98</v>
      </c>
      <c r="K19" s="153">
        <f>121800.08-57129.24</f>
        <v>64670.840000000004</v>
      </c>
      <c r="L19" s="153">
        <v>49853.61</v>
      </c>
      <c r="M19" s="153">
        <f>102483.68-38086.16</f>
        <v>64397.51999999999</v>
      </c>
      <c r="N19" s="155">
        <f>SUM(B19:M19)</f>
        <v>932843.99</v>
      </c>
    </row>
    <row r="20" spans="1:14" ht="31.5" customHeight="1" x14ac:dyDescent="0.25">
      <c r="A20" s="136">
        <v>2015</v>
      </c>
      <c r="B20" s="154">
        <v>115645.97</v>
      </c>
      <c r="C20" s="154">
        <f>159671.28-250.11</f>
        <v>159421.17000000001</v>
      </c>
      <c r="D20" s="154">
        <v>101851.21</v>
      </c>
      <c r="E20" s="154">
        <v>91442.12</v>
      </c>
      <c r="F20" s="154">
        <v>93753.14</v>
      </c>
      <c r="G20" s="154">
        <v>83782.45</v>
      </c>
      <c r="H20" s="154">
        <v>85388.82</v>
      </c>
      <c r="I20" s="154">
        <v>63805.98</v>
      </c>
      <c r="J20" s="154">
        <v>67896.72</v>
      </c>
      <c r="K20" s="154">
        <v>64399.97</v>
      </c>
      <c r="L20" s="154">
        <v>51283.97</v>
      </c>
      <c r="M20" s="154">
        <v>53127.519999999997</v>
      </c>
      <c r="N20" s="156">
        <f>SUM(B20:M20)</f>
        <v>1031799.0399999998</v>
      </c>
    </row>
    <row r="21" spans="1:14" ht="28.5" customHeight="1" thickBot="1" x14ac:dyDescent="0.3">
      <c r="A21" s="137">
        <v>2016</v>
      </c>
      <c r="B21" s="75">
        <v>95810.240000000005</v>
      </c>
      <c r="C21" s="75">
        <v>132769.26</v>
      </c>
      <c r="D21" s="75">
        <v>93104.24</v>
      </c>
      <c r="E21" s="75">
        <v>85829.01</v>
      </c>
      <c r="F21" s="75">
        <v>81155.570000000007</v>
      </c>
      <c r="G21" s="75">
        <v>89337.59</v>
      </c>
      <c r="H21" s="75">
        <v>60562.13</v>
      </c>
      <c r="I21" s="75">
        <f>73191.02-3879.26</f>
        <v>69311.760000000009</v>
      </c>
      <c r="J21" s="75">
        <f>J15-49930.67</f>
        <v>68204.19</v>
      </c>
      <c r="K21" s="75">
        <v>62019.67</v>
      </c>
      <c r="L21" s="243">
        <f>68044.43-6241.33</f>
        <v>61803.099999999991</v>
      </c>
      <c r="M21" s="75" t="s">
        <v>64</v>
      </c>
      <c r="N21" s="157">
        <f>SUM(B21:M21)</f>
        <v>899906.76</v>
      </c>
    </row>
    <row r="24" spans="1:14" x14ac:dyDescent="0.25">
      <c r="K24" s="71"/>
      <c r="L24" s="71"/>
      <c r="M24" s="71"/>
    </row>
  </sheetData>
  <mergeCells count="8">
    <mergeCell ref="A6:N6"/>
    <mergeCell ref="A11:N11"/>
    <mergeCell ref="A17:N17"/>
    <mergeCell ref="A7:N7"/>
    <mergeCell ref="A8:N8"/>
    <mergeCell ref="A9:N9"/>
    <mergeCell ref="A10:G10"/>
    <mergeCell ref="I10:N10"/>
  </mergeCells>
  <pageMargins left="0.511811024" right="0.511811024" top="0.78740157499999996" bottom="0.78740157499999996" header="0.31496062000000002" footer="0.31496062000000002"/>
  <pageSetup paperSize="9" scale="78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6"/>
  <sheetViews>
    <sheetView view="pageBreakPreview" topLeftCell="A7" zoomScale="85" zoomScaleNormal="80" zoomScaleSheetLayoutView="85" workbookViewId="0">
      <selection activeCell="R16" sqref="R16"/>
    </sheetView>
  </sheetViews>
  <sheetFormatPr defaultRowHeight="15" x14ac:dyDescent="0.25"/>
  <cols>
    <col min="1" max="1" width="10.85546875" style="70" bestFit="1" customWidth="1"/>
    <col min="2" max="2" width="11.85546875" style="70" bestFit="1" customWidth="1"/>
    <col min="3" max="3" width="12.28515625" style="70" bestFit="1" customWidth="1"/>
    <col min="4" max="4" width="11.85546875" style="70" bestFit="1" customWidth="1"/>
    <col min="5" max="5" width="12.7109375" style="70" bestFit="1" customWidth="1"/>
    <col min="6" max="6" width="12.28515625" style="70" bestFit="1" customWidth="1"/>
    <col min="7" max="8" width="12.7109375" style="70" bestFit="1" customWidth="1"/>
    <col min="9" max="9" width="12.28515625" style="70" bestFit="1" customWidth="1"/>
    <col min="10" max="10" width="11.28515625" style="70" bestFit="1" customWidth="1"/>
    <col min="11" max="11" width="12.7109375" style="70" bestFit="1" customWidth="1"/>
    <col min="12" max="13" width="12.28515625" style="70" bestFit="1" customWidth="1"/>
    <col min="14" max="14" width="16.28515625" style="70" bestFit="1" customWidth="1"/>
    <col min="15" max="16384" width="9.140625" style="70"/>
  </cols>
  <sheetData>
    <row r="1" spans="1:14" s="77" customFormat="1" ht="21" x14ac:dyDescent="0.35">
      <c r="G1" s="78"/>
      <c r="H1" s="79"/>
    </row>
    <row r="2" spans="1:14" s="77" customFormat="1" ht="21" x14ac:dyDescent="0.35">
      <c r="G2" s="78"/>
      <c r="H2" s="79"/>
    </row>
    <row r="3" spans="1:14" s="77" customFormat="1" ht="21" x14ac:dyDescent="0.35">
      <c r="G3" s="78"/>
      <c r="H3" s="79"/>
    </row>
    <row r="4" spans="1:14" s="77" customFormat="1" ht="21" x14ac:dyDescent="0.35">
      <c r="G4" s="78"/>
      <c r="H4" s="79"/>
    </row>
    <row r="5" spans="1:14" s="77" customFormat="1" ht="21" x14ac:dyDescent="0.35">
      <c r="G5" s="78"/>
      <c r="H5" s="79"/>
    </row>
    <row r="6" spans="1:14" s="80" customFormat="1" ht="21" customHeight="1" x14ac:dyDescent="0.35">
      <c r="A6" s="270" t="s">
        <v>119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s="80" customFormat="1" ht="21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4" s="80" customFormat="1" ht="21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</row>
    <row r="9" spans="1:14" s="80" customFormat="1" ht="21" customHeight="1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</row>
    <row r="10" spans="1:14" s="80" customFormat="1" ht="21.75" customHeight="1" thickBot="1" x14ac:dyDescent="0.4">
      <c r="A10" s="250" t="s">
        <v>129</v>
      </c>
      <c r="B10" s="250"/>
      <c r="C10" s="250"/>
      <c r="D10" s="250"/>
      <c r="E10" s="250"/>
      <c r="F10" s="250"/>
      <c r="G10" s="250"/>
      <c r="H10" s="167"/>
      <c r="I10" s="250"/>
      <c r="J10" s="250"/>
      <c r="K10" s="250"/>
      <c r="L10" s="250"/>
      <c r="M10" s="250"/>
      <c r="N10" s="250"/>
    </row>
    <row r="11" spans="1:14" ht="31.5" customHeight="1" thickBot="1" x14ac:dyDescent="0.3">
      <c r="A11" s="275" t="s">
        <v>173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</row>
    <row r="12" spans="1:14" ht="31.5" customHeight="1" x14ac:dyDescent="0.25">
      <c r="A12" s="135" t="s">
        <v>113</v>
      </c>
      <c r="B12" s="138" t="s">
        <v>106</v>
      </c>
      <c r="C12" s="138" t="s">
        <v>107</v>
      </c>
      <c r="D12" s="138" t="s">
        <v>108</v>
      </c>
      <c r="E12" s="138" t="s">
        <v>109</v>
      </c>
      <c r="F12" s="138" t="s">
        <v>110</v>
      </c>
      <c r="G12" s="138" t="s">
        <v>111</v>
      </c>
      <c r="H12" s="138" t="s">
        <v>112</v>
      </c>
      <c r="I12" s="138" t="s">
        <v>114</v>
      </c>
      <c r="J12" s="138" t="s">
        <v>115</v>
      </c>
      <c r="K12" s="138" t="s">
        <v>116</v>
      </c>
      <c r="L12" s="138" t="s">
        <v>117</v>
      </c>
      <c r="M12" s="138" t="s">
        <v>118</v>
      </c>
      <c r="N12" s="139" t="s">
        <v>11</v>
      </c>
    </row>
    <row r="13" spans="1:14" ht="31.5" customHeight="1" x14ac:dyDescent="0.25">
      <c r="A13" s="136">
        <v>2014</v>
      </c>
      <c r="B13" s="72">
        <v>32735.52</v>
      </c>
      <c r="C13" s="72">
        <v>83858.740000000005</v>
      </c>
      <c r="D13" s="72">
        <v>56915.93</v>
      </c>
      <c r="E13" s="72">
        <v>63829.45</v>
      </c>
      <c r="F13" s="72">
        <v>96129.68</v>
      </c>
      <c r="G13" s="72">
        <v>53808.21</v>
      </c>
      <c r="H13" s="72">
        <v>52806.17</v>
      </c>
      <c r="I13" s="72">
        <v>65116.83</v>
      </c>
      <c r="J13" s="72">
        <v>62187.4</v>
      </c>
      <c r="K13" s="72">
        <v>581538.56000000006</v>
      </c>
      <c r="L13" s="72">
        <v>75257.73</v>
      </c>
      <c r="M13" s="72">
        <v>81993.33</v>
      </c>
      <c r="N13" s="142">
        <f>SUM(B13:M13)</f>
        <v>1306177.5500000003</v>
      </c>
    </row>
    <row r="14" spans="1:14" ht="31.5" customHeight="1" x14ac:dyDescent="0.25">
      <c r="A14" s="136">
        <v>2015</v>
      </c>
      <c r="B14" s="140">
        <v>31979.34</v>
      </c>
      <c r="C14" s="140">
        <v>71601.05</v>
      </c>
      <c r="D14" s="140">
        <v>72418.33</v>
      </c>
      <c r="E14" s="140">
        <v>61569.82</v>
      </c>
      <c r="F14" s="140">
        <v>68698.52</v>
      </c>
      <c r="G14" s="140">
        <v>69689.14</v>
      </c>
      <c r="H14" s="140">
        <v>70245.13</v>
      </c>
      <c r="I14" s="140">
        <v>82776.009999999995</v>
      </c>
      <c r="J14" s="140">
        <v>81743.75</v>
      </c>
      <c r="K14" s="140">
        <v>65534.35</v>
      </c>
      <c r="L14" s="140">
        <v>101076.71</v>
      </c>
      <c r="M14" s="140">
        <v>180517.37</v>
      </c>
      <c r="N14" s="141">
        <f>SUM(B14:M14)</f>
        <v>957849.5199999999</v>
      </c>
    </row>
    <row r="15" spans="1:14" ht="28.5" customHeight="1" thickBot="1" x14ac:dyDescent="0.3">
      <c r="A15" s="137">
        <v>2016</v>
      </c>
      <c r="B15" s="75">
        <v>59428.71</v>
      </c>
      <c r="C15" s="75">
        <v>116089.8</v>
      </c>
      <c r="D15" s="75">
        <v>84396.03</v>
      </c>
      <c r="E15" s="75">
        <v>105828.97</v>
      </c>
      <c r="F15" s="75">
        <v>135107.85999999999</v>
      </c>
      <c r="G15" s="75">
        <v>127064.79</v>
      </c>
      <c r="H15" s="75">
        <v>146545.87</v>
      </c>
      <c r="I15" s="75">
        <v>131238.82</v>
      </c>
      <c r="J15" s="75">
        <v>71176.639999999999</v>
      </c>
      <c r="K15" s="75">
        <v>71650.240000000005</v>
      </c>
      <c r="L15" s="75">
        <v>80623.539999999994</v>
      </c>
      <c r="M15" s="75">
        <v>0</v>
      </c>
      <c r="N15" s="143">
        <f t="shared" ref="N15" si="0">SUM(B15:M15)</f>
        <v>1129151.27</v>
      </c>
    </row>
    <row r="16" spans="1:14" ht="15.75" thickBot="1" x14ac:dyDescent="0.3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31.5" customHeight="1" thickBot="1" x14ac:dyDescent="0.3">
      <c r="A17" s="275" t="s">
        <v>182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</row>
    <row r="18" spans="1:14" ht="31.5" customHeight="1" x14ac:dyDescent="0.25">
      <c r="A18" s="135" t="s">
        <v>113</v>
      </c>
      <c r="B18" s="138" t="s">
        <v>106</v>
      </c>
      <c r="C18" s="138" t="s">
        <v>107</v>
      </c>
      <c r="D18" s="138" t="s">
        <v>108</v>
      </c>
      <c r="E18" s="138" t="s">
        <v>109</v>
      </c>
      <c r="F18" s="138" t="s">
        <v>110</v>
      </c>
      <c r="G18" s="138" t="s">
        <v>111</v>
      </c>
      <c r="H18" s="138" t="s">
        <v>112</v>
      </c>
      <c r="I18" s="138" t="s">
        <v>114</v>
      </c>
      <c r="J18" s="138" t="s">
        <v>115</v>
      </c>
      <c r="K18" s="138" t="s">
        <v>116</v>
      </c>
      <c r="L18" s="138" t="s">
        <v>117</v>
      </c>
      <c r="M18" s="138" t="s">
        <v>118</v>
      </c>
      <c r="N18" s="139" t="s">
        <v>11</v>
      </c>
    </row>
    <row r="19" spans="1:14" ht="31.5" customHeight="1" x14ac:dyDescent="0.25">
      <c r="A19" s="136">
        <v>2014</v>
      </c>
      <c r="B19" s="72">
        <v>32735.52</v>
      </c>
      <c r="C19" s="72">
        <f>83858.74-4098</f>
        <v>79760.740000000005</v>
      </c>
      <c r="D19" s="72">
        <v>56915.93</v>
      </c>
      <c r="E19" s="72">
        <f>63829.45-7895</f>
        <v>55934.45</v>
      </c>
      <c r="F19" s="72">
        <v>96129.68</v>
      </c>
      <c r="G19" s="72">
        <v>53808.21</v>
      </c>
      <c r="H19" s="72">
        <v>52806.17</v>
      </c>
      <c r="I19" s="72">
        <v>65116.83</v>
      </c>
      <c r="J19" s="72">
        <v>62187.4</v>
      </c>
      <c r="K19" s="72">
        <f>581538.56-520000</f>
        <v>61538.560000000056</v>
      </c>
      <c r="L19" s="72">
        <v>75257.73</v>
      </c>
      <c r="M19" s="72">
        <v>81993.33</v>
      </c>
      <c r="N19" s="142">
        <f>SUM(B19:M19)</f>
        <v>774184.55</v>
      </c>
    </row>
    <row r="20" spans="1:14" ht="31.5" customHeight="1" x14ac:dyDescent="0.25">
      <c r="A20" s="136">
        <v>2015</v>
      </c>
      <c r="B20" s="140">
        <v>31979.34</v>
      </c>
      <c r="C20" s="140">
        <v>71601.05</v>
      </c>
      <c r="D20" s="140">
        <v>72418.33</v>
      </c>
      <c r="E20" s="140">
        <v>61569.82</v>
      </c>
      <c r="F20" s="140">
        <v>68698.52</v>
      </c>
      <c r="G20" s="140">
        <v>69689.14</v>
      </c>
      <c r="H20" s="140">
        <v>70245.13</v>
      </c>
      <c r="I20" s="140">
        <v>82776.009999999995</v>
      </c>
      <c r="J20" s="140">
        <v>81743.75</v>
      </c>
      <c r="K20" s="140">
        <v>65534.35</v>
      </c>
      <c r="L20" s="140">
        <v>101076.71</v>
      </c>
      <c r="M20" s="140">
        <v>180517.37</v>
      </c>
      <c r="N20" s="141">
        <f>SUM(B20:M20)</f>
        <v>957849.5199999999</v>
      </c>
    </row>
    <row r="21" spans="1:14" ht="28.5" customHeight="1" thickBot="1" x14ac:dyDescent="0.3">
      <c r="A21" s="137">
        <v>2016</v>
      </c>
      <c r="B21" s="75">
        <v>59428.71</v>
      </c>
      <c r="C21" s="75">
        <f>116089.8-28574.35</f>
        <v>87515.450000000012</v>
      </c>
      <c r="D21" s="75">
        <v>84396.03</v>
      </c>
      <c r="E21" s="75">
        <f>105828.97-24062.66</f>
        <v>81766.31</v>
      </c>
      <c r="F21" s="75">
        <f>135107.86-47178.86</f>
        <v>87928.999999999985</v>
      </c>
      <c r="G21" s="75">
        <f>127064.79-48394.74</f>
        <v>78670.049999999988</v>
      </c>
      <c r="H21" s="75">
        <f>146545.87-75380.51</f>
        <v>71165.36</v>
      </c>
      <c r="I21" s="75">
        <v>77502.880000000005</v>
      </c>
      <c r="J21" s="75">
        <v>71176.639999999999</v>
      </c>
      <c r="K21" s="75">
        <v>71650.240000000005</v>
      </c>
      <c r="L21" s="75">
        <f>80624-7540</f>
        <v>73084</v>
      </c>
      <c r="M21" s="75">
        <v>0</v>
      </c>
      <c r="N21" s="143">
        <f t="shared" ref="N21" si="1">SUM(B21:M21)</f>
        <v>844284.67</v>
      </c>
    </row>
    <row r="22" spans="1:14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14" x14ac:dyDescent="0.25">
      <c r="A24" s="165"/>
      <c r="B24" s="165"/>
      <c r="C24" s="165"/>
      <c r="D24" s="166"/>
      <c r="E24" s="165"/>
      <c r="F24" s="165"/>
      <c r="G24" s="165"/>
      <c r="H24" s="166"/>
      <c r="I24" s="166"/>
      <c r="J24" s="165"/>
      <c r="K24" s="166"/>
      <c r="L24" s="166"/>
      <c r="M24" s="166"/>
      <c r="N24" s="165"/>
    </row>
    <row r="25" spans="1:14" x14ac:dyDescent="0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4" x14ac:dyDescent="0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</sheetData>
  <mergeCells count="8">
    <mergeCell ref="A17:N17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verticalDpi="0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view="pageBreakPreview" zoomScaleNormal="100" zoomScaleSheetLayoutView="100" workbookViewId="0">
      <selection activeCell="D12" sqref="D12:E12"/>
    </sheetView>
  </sheetViews>
  <sheetFormatPr defaultRowHeight="15.75" x14ac:dyDescent="0.25"/>
  <cols>
    <col min="1" max="1" width="25.7109375" style="68" customWidth="1"/>
    <col min="2" max="4" width="13.28515625" style="69" customWidth="1"/>
    <col min="5" max="8" width="13.28515625" style="68" customWidth="1"/>
    <col min="9" max="16384" width="9.140625" style="68"/>
  </cols>
  <sheetData>
    <row r="1" spans="1:14" s="77" customFormat="1" ht="21" x14ac:dyDescent="0.35">
      <c r="G1" s="78"/>
      <c r="H1" s="79"/>
    </row>
    <row r="2" spans="1:14" s="77" customFormat="1" ht="21" x14ac:dyDescent="0.35">
      <c r="G2" s="78"/>
      <c r="H2" s="79"/>
    </row>
    <row r="3" spans="1:14" s="77" customFormat="1" ht="21" x14ac:dyDescent="0.35">
      <c r="G3" s="78"/>
      <c r="H3" s="79"/>
    </row>
    <row r="4" spans="1:14" s="77" customFormat="1" ht="21" x14ac:dyDescent="0.35">
      <c r="G4" s="78"/>
      <c r="H4" s="79"/>
    </row>
    <row r="5" spans="1:14" s="77" customFormat="1" ht="21" x14ac:dyDescent="0.35">
      <c r="G5" s="78"/>
      <c r="H5" s="79"/>
    </row>
    <row r="6" spans="1:14" s="80" customFormat="1" ht="21" customHeight="1" x14ac:dyDescent="0.35">
      <c r="A6" s="270" t="s">
        <v>119</v>
      </c>
      <c r="B6" s="248"/>
      <c r="C6" s="248"/>
      <c r="D6" s="248"/>
      <c r="E6" s="248"/>
      <c r="F6" s="248"/>
      <c r="G6" s="248"/>
      <c r="H6" s="248"/>
      <c r="I6" s="77"/>
      <c r="J6" s="77"/>
      <c r="K6" s="77"/>
      <c r="L6" s="77"/>
      <c r="M6" s="77"/>
      <c r="N6" s="77"/>
    </row>
    <row r="7" spans="1:14" s="80" customFormat="1" ht="21" x14ac:dyDescent="0.35">
      <c r="A7" s="274" t="str">
        <f>'Dem Fontes e Usos'!A7:G7</f>
        <v>RESPONSÁVEL PELA ELABORAÇÃO:  José Rodrio Lopes - Gerente Administrativo/Financeiro</v>
      </c>
      <c r="B7" s="249"/>
      <c r="C7" s="249"/>
      <c r="D7" s="249"/>
      <c r="E7" s="249"/>
      <c r="F7" s="249"/>
      <c r="G7" s="249"/>
      <c r="H7" s="249"/>
      <c r="I7" s="77"/>
      <c r="J7" s="77"/>
      <c r="K7" s="77"/>
      <c r="L7" s="77"/>
      <c r="M7" s="77"/>
      <c r="N7" s="77"/>
    </row>
    <row r="8" spans="1:14" s="80" customFormat="1" ht="21" customHeight="1" x14ac:dyDescent="0.35">
      <c r="A8" s="274" t="str">
        <f>'Dem Fontes e Usos'!A8:G8</f>
        <v>DATA DE ELABORAÇÃO:  01-12-2016</v>
      </c>
      <c r="B8" s="249"/>
      <c r="C8" s="249"/>
      <c r="D8" s="249"/>
      <c r="E8" s="249"/>
      <c r="F8" s="249"/>
      <c r="G8" s="249"/>
      <c r="H8" s="249"/>
      <c r="I8" s="77"/>
      <c r="J8" s="77"/>
      <c r="K8" s="77"/>
      <c r="L8" s="77"/>
      <c r="M8" s="77"/>
      <c r="N8" s="77"/>
    </row>
    <row r="9" spans="1:14" s="80" customFormat="1" ht="21" customHeight="1" x14ac:dyDescent="0.35">
      <c r="A9" s="274" t="str">
        <f>'Dem Fontes e Usos'!A9:G9</f>
        <v>Período: Jan/Nov 2016 (acumulado)</v>
      </c>
      <c r="B9" s="249"/>
      <c r="C9" s="249"/>
      <c r="D9" s="249"/>
      <c r="E9" s="249"/>
      <c r="F9" s="249"/>
      <c r="G9" s="249"/>
      <c r="H9" s="249"/>
      <c r="I9" s="77"/>
      <c r="J9" s="77"/>
      <c r="K9" s="77"/>
      <c r="L9" s="77"/>
      <c r="M9" s="77"/>
      <c r="N9" s="77"/>
    </row>
    <row r="10" spans="1:14" s="80" customFormat="1" ht="21" customHeight="1" x14ac:dyDescent="0.35">
      <c r="A10" s="250" t="s">
        <v>130</v>
      </c>
      <c r="B10" s="250"/>
      <c r="C10" s="250"/>
      <c r="D10" s="250"/>
      <c r="E10" s="250"/>
      <c r="F10" s="250"/>
      <c r="G10" s="250"/>
      <c r="H10" s="250"/>
      <c r="I10" s="77"/>
      <c r="J10" s="77"/>
      <c r="K10" s="77"/>
      <c r="L10" s="77"/>
      <c r="M10" s="77"/>
      <c r="N10" s="77"/>
    </row>
    <row r="11" spans="1:14" ht="33" customHeight="1" x14ac:dyDescent="0.25">
      <c r="A11" s="144"/>
      <c r="B11" s="278" t="s">
        <v>178</v>
      </c>
      <c r="C11" s="278"/>
      <c r="D11" s="278" t="s">
        <v>177</v>
      </c>
      <c r="E11" s="278"/>
      <c r="F11" s="278" t="s">
        <v>97</v>
      </c>
      <c r="G11" s="278"/>
      <c r="H11" s="145" t="s">
        <v>105</v>
      </c>
    </row>
    <row r="12" spans="1:14" ht="28.5" customHeight="1" x14ac:dyDescent="0.25">
      <c r="A12" s="146" t="s">
        <v>126</v>
      </c>
      <c r="B12" s="279">
        <f>SUM('Receita Mês X Mês'!B14:L14)</f>
        <v>978921.62999999989</v>
      </c>
      <c r="C12" s="279"/>
      <c r="D12" s="279">
        <f>SUM('Receita Mês X Mês'!B15:L15)</f>
        <v>966199.69</v>
      </c>
      <c r="E12" s="279"/>
      <c r="F12" s="281">
        <f>D12-B12</f>
        <v>-12721.939999999944</v>
      </c>
      <c r="G12" s="281"/>
      <c r="H12" s="147">
        <f>D12/B12</f>
        <v>0.98700412820585037</v>
      </c>
    </row>
    <row r="13" spans="1:14" ht="28.5" customHeight="1" x14ac:dyDescent="0.25">
      <c r="A13" s="146" t="s">
        <v>127</v>
      </c>
      <c r="B13" s="279">
        <f>SUM('Despesas Mês X Mês'!B20:L20)</f>
        <v>777332.14999999991</v>
      </c>
      <c r="C13" s="279"/>
      <c r="D13" s="279">
        <f>SUM('Despesas Mês X Mês'!B21:L21)</f>
        <v>844284.67</v>
      </c>
      <c r="E13" s="279"/>
      <c r="F13" s="282">
        <f>D13-B13</f>
        <v>66952.520000000135</v>
      </c>
      <c r="G13" s="282"/>
      <c r="H13" s="147">
        <f>D13/B13</f>
        <v>1.0861311602768522</v>
      </c>
    </row>
    <row r="14" spans="1:14" ht="36" customHeight="1" x14ac:dyDescent="0.25">
      <c r="A14" s="149" t="s">
        <v>128</v>
      </c>
      <c r="B14" s="280">
        <f>B12-B13</f>
        <v>201589.47999999998</v>
      </c>
      <c r="C14" s="280"/>
      <c r="D14" s="280">
        <f>D12-D13</f>
        <v>121915.0199999999</v>
      </c>
      <c r="E14" s="280"/>
      <c r="F14" s="283">
        <f>D14-B14</f>
        <v>-79674.460000000079</v>
      </c>
      <c r="G14" s="283"/>
      <c r="H14" s="148">
        <f>D14/B14</f>
        <v>0.60476876075080854</v>
      </c>
    </row>
  </sheetData>
  <mergeCells count="17">
    <mergeCell ref="A6:H6"/>
    <mergeCell ref="A7:H7"/>
    <mergeCell ref="A8:H8"/>
    <mergeCell ref="A9:H9"/>
    <mergeCell ref="A10:H10"/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cau02</cp:lastModifiedBy>
  <cp:lastPrinted>2017-01-26T19:38:21Z</cp:lastPrinted>
  <dcterms:created xsi:type="dcterms:W3CDTF">2013-07-08T17:53:54Z</dcterms:created>
  <dcterms:modified xsi:type="dcterms:W3CDTF">2017-01-26T19:39:22Z</dcterms:modified>
</cp:coreProperties>
</file>